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10.xml" ContentType="application/vnd.openxmlformats-officedocument.spreadsheetml.table+xml"/>
  <Override PartName="/xl/tables/table100.xml" ContentType="application/vnd.openxmlformats-officedocument.spreadsheetml.table+xml"/>
  <Override PartName="/xl/tables/table101.xml" ContentType="application/vnd.openxmlformats-officedocument.spreadsheetml.table+xml"/>
  <Override PartName="/xl/tables/table102.xml" ContentType="application/vnd.openxmlformats-officedocument.spreadsheetml.table+xml"/>
  <Override PartName="/xl/tables/table103.xml" ContentType="application/vnd.openxmlformats-officedocument.spreadsheetml.table+xml"/>
  <Override PartName="/xl/tables/table104.xml" ContentType="application/vnd.openxmlformats-officedocument.spreadsheetml.table+xml"/>
  <Override PartName="/xl/tables/table105.xml" ContentType="application/vnd.openxmlformats-officedocument.spreadsheetml.table+xml"/>
  <Override PartName="/xl/tables/table106.xml" ContentType="application/vnd.openxmlformats-officedocument.spreadsheetml.table+xml"/>
  <Override PartName="/xl/tables/table107.xml" ContentType="application/vnd.openxmlformats-officedocument.spreadsheetml.table+xml"/>
  <Override PartName="/xl/tables/table108.xml" ContentType="application/vnd.openxmlformats-officedocument.spreadsheetml.table+xml"/>
  <Override PartName="/xl/tables/table109.xml" ContentType="application/vnd.openxmlformats-officedocument.spreadsheetml.table+xml"/>
  <Override PartName="/xl/tables/table11.xml" ContentType="application/vnd.openxmlformats-officedocument.spreadsheetml.table+xml"/>
  <Override PartName="/xl/tables/table110.xml" ContentType="application/vnd.openxmlformats-officedocument.spreadsheetml.table+xml"/>
  <Override PartName="/xl/tables/table111.xml" ContentType="application/vnd.openxmlformats-officedocument.spreadsheetml.table+xml"/>
  <Override PartName="/xl/tables/table112.xml" ContentType="application/vnd.openxmlformats-officedocument.spreadsheetml.table+xml"/>
  <Override PartName="/xl/tables/table113.xml" ContentType="application/vnd.openxmlformats-officedocument.spreadsheetml.table+xml"/>
  <Override PartName="/xl/tables/table114.xml" ContentType="application/vnd.openxmlformats-officedocument.spreadsheetml.table+xml"/>
  <Override PartName="/xl/tables/table115.xml" ContentType="application/vnd.openxmlformats-officedocument.spreadsheetml.table+xml"/>
  <Override PartName="/xl/tables/table116.xml" ContentType="application/vnd.openxmlformats-officedocument.spreadsheetml.table+xml"/>
  <Override PartName="/xl/tables/table117.xml" ContentType="application/vnd.openxmlformats-officedocument.spreadsheetml.table+xml"/>
  <Override PartName="/xl/tables/table118.xml" ContentType="application/vnd.openxmlformats-officedocument.spreadsheetml.table+xml"/>
  <Override PartName="/xl/tables/table119.xml" ContentType="application/vnd.openxmlformats-officedocument.spreadsheetml.table+xml"/>
  <Override PartName="/xl/tables/table12.xml" ContentType="application/vnd.openxmlformats-officedocument.spreadsheetml.table+xml"/>
  <Override PartName="/xl/tables/table120.xml" ContentType="application/vnd.openxmlformats-officedocument.spreadsheetml.table+xml"/>
  <Override PartName="/xl/tables/table121.xml" ContentType="application/vnd.openxmlformats-officedocument.spreadsheetml.table+xml"/>
  <Override PartName="/xl/tables/table13.xml" ContentType="application/vnd.openxmlformats-officedocument.spreadsheetml.table+xml"/>
  <Override PartName="/xl/tables/table14.xml" ContentType="application/vnd.openxmlformats-officedocument.spreadsheetml.table+xml"/>
  <Override PartName="/xl/tables/table15.xml" ContentType="application/vnd.openxmlformats-officedocument.spreadsheetml.table+xml"/>
  <Override PartName="/xl/tables/table16.xml" ContentType="application/vnd.openxmlformats-officedocument.spreadsheetml.table+xml"/>
  <Override PartName="/xl/tables/table17.xml" ContentType="application/vnd.openxmlformats-officedocument.spreadsheetml.table+xml"/>
  <Override PartName="/xl/tables/table18.xml" ContentType="application/vnd.openxmlformats-officedocument.spreadsheetml.table+xml"/>
  <Override PartName="/xl/tables/table19.xml" ContentType="application/vnd.openxmlformats-officedocument.spreadsheetml.table+xml"/>
  <Override PartName="/xl/tables/table2.xml" ContentType="application/vnd.openxmlformats-officedocument.spreadsheetml.table+xml"/>
  <Override PartName="/xl/tables/table20.xml" ContentType="application/vnd.openxmlformats-officedocument.spreadsheetml.table+xml"/>
  <Override PartName="/xl/tables/table21.xml" ContentType="application/vnd.openxmlformats-officedocument.spreadsheetml.table+xml"/>
  <Override PartName="/xl/tables/table22.xml" ContentType="application/vnd.openxmlformats-officedocument.spreadsheetml.table+xml"/>
  <Override PartName="/xl/tables/table23.xml" ContentType="application/vnd.openxmlformats-officedocument.spreadsheetml.table+xml"/>
  <Override PartName="/xl/tables/table24.xml" ContentType="application/vnd.openxmlformats-officedocument.spreadsheetml.table+xml"/>
  <Override PartName="/xl/tables/table25.xml" ContentType="application/vnd.openxmlformats-officedocument.spreadsheetml.table+xml"/>
  <Override PartName="/xl/tables/table26.xml" ContentType="application/vnd.openxmlformats-officedocument.spreadsheetml.table+xml"/>
  <Override PartName="/xl/tables/table27.xml" ContentType="application/vnd.openxmlformats-officedocument.spreadsheetml.table+xml"/>
  <Override PartName="/xl/tables/table28.xml" ContentType="application/vnd.openxmlformats-officedocument.spreadsheetml.table+xml"/>
  <Override PartName="/xl/tables/table29.xml" ContentType="application/vnd.openxmlformats-officedocument.spreadsheetml.table+xml"/>
  <Override PartName="/xl/tables/table3.xml" ContentType="application/vnd.openxmlformats-officedocument.spreadsheetml.table+xml"/>
  <Override PartName="/xl/tables/table30.xml" ContentType="application/vnd.openxmlformats-officedocument.spreadsheetml.table+xml"/>
  <Override PartName="/xl/tables/table31.xml" ContentType="application/vnd.openxmlformats-officedocument.spreadsheetml.table+xml"/>
  <Override PartName="/xl/tables/table32.xml" ContentType="application/vnd.openxmlformats-officedocument.spreadsheetml.table+xml"/>
  <Override PartName="/xl/tables/table33.xml" ContentType="application/vnd.openxmlformats-officedocument.spreadsheetml.table+xml"/>
  <Override PartName="/xl/tables/table34.xml" ContentType="application/vnd.openxmlformats-officedocument.spreadsheetml.table+xml"/>
  <Override PartName="/xl/tables/table35.xml" ContentType="application/vnd.openxmlformats-officedocument.spreadsheetml.table+xml"/>
  <Override PartName="/xl/tables/table36.xml" ContentType="application/vnd.openxmlformats-officedocument.spreadsheetml.table+xml"/>
  <Override PartName="/xl/tables/table37.xml" ContentType="application/vnd.openxmlformats-officedocument.spreadsheetml.table+xml"/>
  <Override PartName="/xl/tables/table38.xml" ContentType="application/vnd.openxmlformats-officedocument.spreadsheetml.table+xml"/>
  <Override PartName="/xl/tables/table39.xml" ContentType="application/vnd.openxmlformats-officedocument.spreadsheetml.table+xml"/>
  <Override PartName="/xl/tables/table4.xml" ContentType="application/vnd.openxmlformats-officedocument.spreadsheetml.table+xml"/>
  <Override PartName="/xl/tables/table40.xml" ContentType="application/vnd.openxmlformats-officedocument.spreadsheetml.table+xml"/>
  <Override PartName="/xl/tables/table41.xml" ContentType="application/vnd.openxmlformats-officedocument.spreadsheetml.table+xml"/>
  <Override PartName="/xl/tables/table42.xml" ContentType="application/vnd.openxmlformats-officedocument.spreadsheetml.table+xml"/>
  <Override PartName="/xl/tables/table43.xml" ContentType="application/vnd.openxmlformats-officedocument.spreadsheetml.table+xml"/>
  <Override PartName="/xl/tables/table44.xml" ContentType="application/vnd.openxmlformats-officedocument.spreadsheetml.table+xml"/>
  <Override PartName="/xl/tables/table45.xml" ContentType="application/vnd.openxmlformats-officedocument.spreadsheetml.table+xml"/>
  <Override PartName="/xl/tables/table46.xml" ContentType="application/vnd.openxmlformats-officedocument.spreadsheetml.table+xml"/>
  <Override PartName="/xl/tables/table47.xml" ContentType="application/vnd.openxmlformats-officedocument.spreadsheetml.table+xml"/>
  <Override PartName="/xl/tables/table48.xml" ContentType="application/vnd.openxmlformats-officedocument.spreadsheetml.table+xml"/>
  <Override PartName="/xl/tables/table49.xml" ContentType="application/vnd.openxmlformats-officedocument.spreadsheetml.table+xml"/>
  <Override PartName="/xl/tables/table5.xml" ContentType="application/vnd.openxmlformats-officedocument.spreadsheetml.table+xml"/>
  <Override PartName="/xl/tables/table50.xml" ContentType="application/vnd.openxmlformats-officedocument.spreadsheetml.table+xml"/>
  <Override PartName="/xl/tables/table51.xml" ContentType="application/vnd.openxmlformats-officedocument.spreadsheetml.table+xml"/>
  <Override PartName="/xl/tables/table52.xml" ContentType="application/vnd.openxmlformats-officedocument.spreadsheetml.table+xml"/>
  <Override PartName="/xl/tables/table53.xml" ContentType="application/vnd.openxmlformats-officedocument.spreadsheetml.table+xml"/>
  <Override PartName="/xl/tables/table54.xml" ContentType="application/vnd.openxmlformats-officedocument.spreadsheetml.table+xml"/>
  <Override PartName="/xl/tables/table55.xml" ContentType="application/vnd.openxmlformats-officedocument.spreadsheetml.table+xml"/>
  <Override PartName="/xl/tables/table56.xml" ContentType="application/vnd.openxmlformats-officedocument.spreadsheetml.table+xml"/>
  <Override PartName="/xl/tables/table57.xml" ContentType="application/vnd.openxmlformats-officedocument.spreadsheetml.table+xml"/>
  <Override PartName="/xl/tables/table58.xml" ContentType="application/vnd.openxmlformats-officedocument.spreadsheetml.table+xml"/>
  <Override PartName="/xl/tables/table59.xml" ContentType="application/vnd.openxmlformats-officedocument.spreadsheetml.table+xml"/>
  <Override PartName="/xl/tables/table6.xml" ContentType="application/vnd.openxmlformats-officedocument.spreadsheetml.table+xml"/>
  <Override PartName="/xl/tables/table60.xml" ContentType="application/vnd.openxmlformats-officedocument.spreadsheetml.table+xml"/>
  <Override PartName="/xl/tables/table61.xml" ContentType="application/vnd.openxmlformats-officedocument.spreadsheetml.table+xml"/>
  <Override PartName="/xl/tables/table62.xml" ContentType="application/vnd.openxmlformats-officedocument.spreadsheetml.table+xml"/>
  <Override PartName="/xl/tables/table63.xml" ContentType="application/vnd.openxmlformats-officedocument.spreadsheetml.table+xml"/>
  <Override PartName="/xl/tables/table64.xml" ContentType="application/vnd.openxmlformats-officedocument.spreadsheetml.table+xml"/>
  <Override PartName="/xl/tables/table65.xml" ContentType="application/vnd.openxmlformats-officedocument.spreadsheetml.table+xml"/>
  <Override PartName="/xl/tables/table66.xml" ContentType="application/vnd.openxmlformats-officedocument.spreadsheetml.table+xml"/>
  <Override PartName="/xl/tables/table67.xml" ContentType="application/vnd.openxmlformats-officedocument.spreadsheetml.table+xml"/>
  <Override PartName="/xl/tables/table68.xml" ContentType="application/vnd.openxmlformats-officedocument.spreadsheetml.table+xml"/>
  <Override PartName="/xl/tables/table69.xml" ContentType="application/vnd.openxmlformats-officedocument.spreadsheetml.table+xml"/>
  <Override PartName="/xl/tables/table7.xml" ContentType="application/vnd.openxmlformats-officedocument.spreadsheetml.table+xml"/>
  <Override PartName="/xl/tables/table70.xml" ContentType="application/vnd.openxmlformats-officedocument.spreadsheetml.table+xml"/>
  <Override PartName="/xl/tables/table71.xml" ContentType="application/vnd.openxmlformats-officedocument.spreadsheetml.table+xml"/>
  <Override PartName="/xl/tables/table72.xml" ContentType="application/vnd.openxmlformats-officedocument.spreadsheetml.table+xml"/>
  <Override PartName="/xl/tables/table73.xml" ContentType="application/vnd.openxmlformats-officedocument.spreadsheetml.table+xml"/>
  <Override PartName="/xl/tables/table74.xml" ContentType="application/vnd.openxmlformats-officedocument.spreadsheetml.table+xml"/>
  <Override PartName="/xl/tables/table75.xml" ContentType="application/vnd.openxmlformats-officedocument.spreadsheetml.table+xml"/>
  <Override PartName="/xl/tables/table76.xml" ContentType="application/vnd.openxmlformats-officedocument.spreadsheetml.table+xml"/>
  <Override PartName="/xl/tables/table77.xml" ContentType="application/vnd.openxmlformats-officedocument.spreadsheetml.table+xml"/>
  <Override PartName="/xl/tables/table78.xml" ContentType="application/vnd.openxmlformats-officedocument.spreadsheetml.table+xml"/>
  <Override PartName="/xl/tables/table79.xml" ContentType="application/vnd.openxmlformats-officedocument.spreadsheetml.table+xml"/>
  <Override PartName="/xl/tables/table8.xml" ContentType="application/vnd.openxmlformats-officedocument.spreadsheetml.table+xml"/>
  <Override PartName="/xl/tables/table80.xml" ContentType="application/vnd.openxmlformats-officedocument.spreadsheetml.table+xml"/>
  <Override PartName="/xl/tables/table81.xml" ContentType="application/vnd.openxmlformats-officedocument.spreadsheetml.table+xml"/>
  <Override PartName="/xl/tables/table82.xml" ContentType="application/vnd.openxmlformats-officedocument.spreadsheetml.table+xml"/>
  <Override PartName="/xl/tables/table83.xml" ContentType="application/vnd.openxmlformats-officedocument.spreadsheetml.table+xml"/>
  <Override PartName="/xl/tables/table84.xml" ContentType="application/vnd.openxmlformats-officedocument.spreadsheetml.table+xml"/>
  <Override PartName="/xl/tables/table85.xml" ContentType="application/vnd.openxmlformats-officedocument.spreadsheetml.table+xml"/>
  <Override PartName="/xl/tables/table86.xml" ContentType="application/vnd.openxmlformats-officedocument.spreadsheetml.table+xml"/>
  <Override PartName="/xl/tables/table87.xml" ContentType="application/vnd.openxmlformats-officedocument.spreadsheetml.table+xml"/>
  <Override PartName="/xl/tables/table88.xml" ContentType="application/vnd.openxmlformats-officedocument.spreadsheetml.table+xml"/>
  <Override PartName="/xl/tables/table89.xml" ContentType="application/vnd.openxmlformats-officedocument.spreadsheetml.table+xml"/>
  <Override PartName="/xl/tables/table9.xml" ContentType="application/vnd.openxmlformats-officedocument.spreadsheetml.table+xml"/>
  <Override PartName="/xl/tables/table90.xml" ContentType="application/vnd.openxmlformats-officedocument.spreadsheetml.table+xml"/>
  <Override PartName="/xl/tables/table91.xml" ContentType="application/vnd.openxmlformats-officedocument.spreadsheetml.table+xml"/>
  <Override PartName="/xl/tables/table92.xml" ContentType="application/vnd.openxmlformats-officedocument.spreadsheetml.table+xml"/>
  <Override PartName="/xl/tables/table93.xml" ContentType="application/vnd.openxmlformats-officedocument.spreadsheetml.table+xml"/>
  <Override PartName="/xl/tables/table94.xml" ContentType="application/vnd.openxmlformats-officedocument.spreadsheetml.table+xml"/>
  <Override PartName="/xl/tables/table95.xml" ContentType="application/vnd.openxmlformats-officedocument.spreadsheetml.table+xml"/>
  <Override PartName="/xl/tables/table96.xml" ContentType="application/vnd.openxmlformats-officedocument.spreadsheetml.table+xml"/>
  <Override PartName="/xl/tables/table97.xml" ContentType="application/vnd.openxmlformats-officedocument.spreadsheetml.table+xml"/>
  <Override PartName="/xl/tables/table98.xml" ContentType="application/vnd.openxmlformats-officedocument.spreadsheetml.table+xml"/>
  <Override PartName="/xl/tables/table99.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workbookProtection/>
  <bookViews>
    <workbookView windowWidth="28800" windowHeight="12465" tabRatio="500" firstSheet="2" activeTab="2"/>
  </bookViews>
  <sheets>
    <sheet name="Orientações" sheetId="1" state="hidden" r:id="rId1"/>
    <sheet name="Servente" sheetId="2" state="hidden" r:id="rId2"/>
    <sheet name="Auxiliar Administrativo" sheetId="11" r:id="rId3"/>
    <sheet name="Portaria" sheetId="5" r:id="rId4"/>
    <sheet name="Motorista Interestadual" sheetId="8" r:id="rId5"/>
    <sheet name="Eletricista" sheetId="16" r:id="rId6"/>
    <sheet name="Auxiliar de Manutenção Predial" sheetId="17" r:id="rId7"/>
    <sheet name="Pintor" sheetId="18" r:id="rId8"/>
    <sheet name="Técnico em Refrigeração" sheetId="20" r:id="rId9"/>
    <sheet name="Jardineiro" sheetId="19" r:id="rId10"/>
    <sheet name="Diárias" sheetId="15" r:id="rId11"/>
    <sheet name="Uniformes" sheetId="12" r:id="rId12"/>
    <sheet name="Materiais e Equipamentos" sheetId="14" r:id="rId13"/>
    <sheet name="EPC" sheetId="21" r:id="rId14"/>
    <sheet name="RESUMO" sheetId="13" r:id="rId15"/>
  </sheets>
  <definedNames>
    <definedName name="SalarioBase">Servente!$D$5</definedName>
    <definedName name="Salário_Normativo_da_Categoria_Profissional">Servente!$D$5</definedName>
    <definedName name="Total1">Servente!#REF!</definedName>
    <definedName name="Total2.1">Servente!#REF!</definedName>
    <definedName name="Total2.2">Servente!#REF!</definedName>
    <definedName name="Total2.3">Servente!#REF!</definedName>
    <definedName name="_1A">Servente!$D$11</definedName>
    <definedName name="_1B">Servente!$D$12</definedName>
    <definedName name="_1C">Servente!$D$13</definedName>
    <definedName name="_1D">Servente!$D$14</definedName>
    <definedName name="_1E">Servente!$D$15</definedName>
    <definedName name="_1F">Servente!$D$16</definedName>
    <definedName name="_2.1A">Servente!$D$22</definedName>
    <definedName name="_2.1B">Servente!$D$23</definedName>
    <definedName name="_2.3A">Servente!$D$49</definedName>
    <definedName name="_2.3B">Servente!$D$50</definedName>
    <definedName name="_2.3C">Servente!$D$51</definedName>
    <definedName name="_2.3D">Servente!$D$52</definedName>
    <definedName name="_xlcn.WorksheetConnection_PlanilhaLimpeza.xlsxTable3">#REF!</definedName>
  </definedNames>
  <calcPr calcId="144525"/>
</workbook>
</file>

<file path=xl/sharedStrings.xml><?xml version="1.0" encoding="utf-8"?>
<sst xmlns="http://schemas.openxmlformats.org/spreadsheetml/2006/main" count="3017" uniqueCount="491">
  <si>
    <t>Dados para composição dos custos referentes a mão de obra</t>
  </si>
  <si>
    <t>Dados Gerais</t>
  </si>
  <si>
    <t>Item</t>
  </si>
  <si>
    <t>Descrição</t>
  </si>
  <si>
    <t>Comentário</t>
  </si>
  <si>
    <t>Valor</t>
  </si>
  <si>
    <t xml:space="preserve">Tipo de Serviço </t>
  </si>
  <si>
    <t>Limpeza</t>
  </si>
  <si>
    <t>Valor do Vale Transporte</t>
  </si>
  <si>
    <t>Classificação Brasileira de Ocupações (CBO)</t>
  </si>
  <si>
    <t xml:space="preserve">5143-20 </t>
  </si>
  <si>
    <t>Valor do Auxílio Alimentação</t>
  </si>
  <si>
    <t>Salário Normativo da Categoria Profissional</t>
  </si>
  <si>
    <t>Salário Mínimo (Decreto</t>
  </si>
  <si>
    <t>Dias de Trabalho no mês</t>
  </si>
  <si>
    <t>Categoria Profissional</t>
  </si>
  <si>
    <t xml:space="preserve"> CCT PB000405/2018 </t>
  </si>
  <si>
    <t>Servente de Limpeza</t>
  </si>
  <si>
    <t>RAT x SAT</t>
  </si>
  <si>
    <t>Data-Base da Categoria</t>
  </si>
  <si>
    <t>01 de Janeiro</t>
  </si>
  <si>
    <t>Dados sobre Desligamento</t>
  </si>
  <si>
    <t>Módulo 1 - Composição da Remuneração</t>
  </si>
  <si>
    <t>Tipos</t>
  </si>
  <si>
    <t>Percentual</t>
  </si>
  <si>
    <t>1</t>
  </si>
  <si>
    <t>Composição da Remuneração</t>
  </si>
  <si>
    <t>SEM justa causa - AP INDENIZADO</t>
  </si>
  <si>
    <t>A</t>
  </si>
  <si>
    <t>Salário-Base</t>
  </si>
  <si>
    <t>SEM justa causa - AP TRABALHADO</t>
  </si>
  <si>
    <t>B</t>
  </si>
  <si>
    <t>Adicional de Periculosidade</t>
  </si>
  <si>
    <t>Demissões COM justa causa</t>
  </si>
  <si>
    <t>C</t>
  </si>
  <si>
    <t>Adicional de Insalubridade</t>
  </si>
  <si>
    <t>D</t>
  </si>
  <si>
    <t>Adicional Noturno</t>
  </si>
  <si>
    <t>CITL</t>
  </si>
  <si>
    <t>E</t>
  </si>
  <si>
    <t>Adicional de Hora Noturna Reduzida</t>
  </si>
  <si>
    <t>F</t>
  </si>
  <si>
    <t>Outros (especificar)</t>
  </si>
  <si>
    <t>Custos indiretos</t>
  </si>
  <si>
    <t>Total</t>
  </si>
  <si>
    <t>Lucro</t>
  </si>
  <si>
    <t>PIS</t>
  </si>
  <si>
    <t>Módulo 2 - Encargos e Benefícios Anuais, Mensais e Diários</t>
  </si>
  <si>
    <t>COFINS</t>
  </si>
  <si>
    <t> Submódulo 2.1 - 13º (décimo terceiro) Salário, Férias e Adicional de Férias</t>
  </si>
  <si>
    <t>ISS</t>
  </si>
  <si>
    <t>2.1</t>
  </si>
  <si>
    <t>13º (décimo terceiro) Salário, Férias e Adicional de Férias</t>
  </si>
  <si>
    <t>13º (décimo terceiro) Salário</t>
  </si>
  <si>
    <t>Férias e Adicional de Férias</t>
  </si>
  <si>
    <t>Memória de Cálculo - Submódulo 2.1</t>
  </si>
  <si>
    <t>Rubrica</t>
  </si>
  <si>
    <t>Base de Cálculo</t>
  </si>
  <si>
    <t>Memória de Cálculo</t>
  </si>
  <si>
    <t>13 º (décimo terceiro) Salário</t>
  </si>
  <si>
    <t>Módulo 1 (Total)</t>
  </si>
  <si>
    <t>8,33%  x Base de Cálculo, Sendo 8,33% = 1 ÷ 12</t>
  </si>
  <si>
    <t>Base de Cálculo x [(1 ÷ 12) x ( 1 + (1 ÷ 3))]</t>
  </si>
  <si>
    <t>Submódulo 2.2 - Encargos Previdenciários (GPS), Fundo de Garantia por Tempo de Serviço (FGTS) e outras contribuições.</t>
  </si>
  <si>
    <t>2.2</t>
  </si>
  <si>
    <t>GPS, FGTS e outras contribuições</t>
  </si>
  <si>
    <t xml:space="preserve">Valor </t>
  </si>
  <si>
    <t>INSS</t>
  </si>
  <si>
    <t>Salário Educação</t>
  </si>
  <si>
    <t>SAT</t>
  </si>
  <si>
    <t>SESC ou SESI</t>
  </si>
  <si>
    <t>SENAI - SENAC</t>
  </si>
  <si>
    <t>SEBRAE</t>
  </si>
  <si>
    <t>G</t>
  </si>
  <si>
    <t>INCRA</t>
  </si>
  <si>
    <t>H</t>
  </si>
  <si>
    <t>FGTS</t>
  </si>
  <si>
    <t>Memória de Cálculo - Submódulo 2.2</t>
  </si>
  <si>
    <t>A a H</t>
  </si>
  <si>
    <t>Módulo 1 (Total) + Submódulo 2.1</t>
  </si>
  <si>
    <t>Alíquota x Base de Cálculo</t>
  </si>
  <si>
    <t>Submódulo 2.3 - Benefícios Mensais e Diários.</t>
  </si>
  <si>
    <t>2.3</t>
  </si>
  <si>
    <t>Benefícios Mensais e Diários</t>
  </si>
  <si>
    <t>Transporte</t>
  </si>
  <si>
    <t>Auxílio-Refeição/Alimentação</t>
  </si>
  <si>
    <t>Assistência Médica e Familiar</t>
  </si>
  <si>
    <t>Memória de Cálculo - Submódulo 2.3</t>
  </si>
  <si>
    <t>-</t>
  </si>
  <si>
    <t>(Valor do Vale x 2 Vales/dia x Dias de Trabalho) - 6% x Salário Base</t>
  </si>
  <si>
    <t>(Valor do Vale Alim. x Qtde. Dias de Trab)  x 80%</t>
  </si>
  <si>
    <t>Quadro-Resumo do Módulo 2 - Encargos e Benefícios anuais, mensais e diários</t>
  </si>
  <si>
    <t>2</t>
  </si>
  <si>
    <t>Encargos e Benefícios Anuais, Mensais e Diários</t>
  </si>
  <si>
    <t>Módulo 3 - Provisão para Rescisão</t>
  </si>
  <si>
    <t>3</t>
  </si>
  <si>
    <t>Provisão para Rescisão</t>
  </si>
  <si>
    <t>Aviso Prévio Indenizado</t>
  </si>
  <si>
    <t>Incidência do FGTS sobre o Aviso Prévio Indenizado</t>
  </si>
  <si>
    <t>Multa do FGTS e contribuição social sobre o Aviso Prévio Indenizado</t>
  </si>
  <si>
    <t>Aviso Prévio Trabalhado</t>
  </si>
  <si>
    <t>Multa do FGTS e contribuição social sobre o Aviso Prévio Trabalhado</t>
  </si>
  <si>
    <t>(-)Demissão por justa causa</t>
  </si>
  <si>
    <t>Memória de Cálculo - Módulo 3</t>
  </si>
  <si>
    <t>Módulo 1 (Total) + Submódulo 2.1 + Submódulo 2.3</t>
  </si>
  <si>
    <t>(Base de Cálculo / 12) x Percentual de AP Indenizado (Tabela "Dados sobre desligamento")</t>
  </si>
  <si>
    <t>Item H do submódulo 2.2 (FGTS)</t>
  </si>
  <si>
    <t>Base de Cálculo x 50 % (40% de multa + 10% contribuição social) x Percentual de AP Indenizado (Tabela "Dados sobre desligamento")</t>
  </si>
  <si>
    <t>Módulo 1 (Total) + Módulo 2 (Total)</t>
  </si>
  <si>
    <t>(Base de Cálculo / 12) x Percentual de AP Trabalhado (Tabela "Dados sobre desligamento")</t>
  </si>
  <si>
    <t>Base de Cálculo x 50 % (40% de multa + 10% contribuição social) x Percentual de AP Trabalhado (Tabela "Dados sobre desligamento")</t>
  </si>
  <si>
    <t>Submódulo 2.1</t>
  </si>
  <si>
    <t>Base de Cálculo x Percentual de Demissões COM justa Causa (Tabela "Dados sobre desligamento")</t>
  </si>
  <si>
    <t xml:space="preserve">Módulo 4 - Custo de Reposição do Profissional Ausente
</t>
  </si>
  <si>
    <t>Submódulo 4.1 - Substituto nas Ausências Legais</t>
  </si>
  <si>
    <t>4.1</t>
  </si>
  <si>
    <t>Substituto nas Ausências Legais</t>
  </si>
  <si>
    <t>Dias de ausência</t>
  </si>
  <si>
    <t>Substituto na cobertura de Férias</t>
  </si>
  <si>
    <t>Substituto na cobertura de Ausências Legais</t>
  </si>
  <si>
    <t>Substituto na cobertura de Licença-Paternidade</t>
  </si>
  <si>
    <t>Substituto na cobertura de Ausência por acidente de trabalho</t>
  </si>
  <si>
    <t>Substituto na cobertura de Afastamento Maternidade</t>
  </si>
  <si>
    <t>Substituto na cobertura de Ausência por Doença</t>
  </si>
  <si>
    <t>Memória de Cálculo - Módulo 4</t>
  </si>
  <si>
    <t>A a F</t>
  </si>
  <si>
    <t>Dias de Ausência conforme caderno técnico de limpeza/PB 2018, p. 20.</t>
  </si>
  <si>
    <t>Valor das rubricas de A a F</t>
  </si>
  <si>
    <t xml:space="preserve">Custo diário para o repositor = (Módulo 1 + Módulo 2 + Módulo 3) / 30 </t>
  </si>
  <si>
    <t>Base de cálculo x Dias de Ausência</t>
  </si>
  <si>
    <t>Submódulo 4.2 - Substituto na Intrajornada</t>
  </si>
  <si>
    <t>4.2</t>
  </si>
  <si>
    <t>Substituto na Intrajornada </t>
  </si>
  <si>
    <t>Substituto na cobertura de Intervalo para repouso ou alimentação</t>
  </si>
  <si>
    <t>Quadro-Resumo do Módulo 4 - Custo de Reposição do Profissional Ausente</t>
  </si>
  <si>
    <t>4</t>
  </si>
  <si>
    <t>Custo de Reposição do Profissional Ausente</t>
  </si>
  <si>
    <t>Substituto na Intrajornada</t>
  </si>
  <si>
    <t>Módulo 5 - Insumos Diversos</t>
  </si>
  <si>
    <t>5</t>
  </si>
  <si>
    <t>Insumos Diversos</t>
  </si>
  <si>
    <t>Uniformes</t>
  </si>
  <si>
    <t>Materiais</t>
  </si>
  <si>
    <t>Equipamentos</t>
  </si>
  <si>
    <t>EPI</t>
  </si>
  <si>
    <t>Memória de Cálculo - Módulo 5</t>
  </si>
  <si>
    <t>Tabela Uniformes Serventes</t>
  </si>
  <si>
    <t>Total da Tabela Materiais</t>
  </si>
  <si>
    <t>Base de Cálculo / Qtde. de Serventes</t>
  </si>
  <si>
    <t>Custo total dos equipamentos (Manutenção + Depreciação)</t>
  </si>
  <si>
    <t>Módulo 6 - Custos Indiretos, Tributos e Lucro</t>
  </si>
  <si>
    <t>6</t>
  </si>
  <si>
    <t>Custos Indiretos, Tributos e Lucro</t>
  </si>
  <si>
    <t>Custos Indiretos</t>
  </si>
  <si>
    <t>Tributos</t>
  </si>
  <si>
    <t>C.1</t>
  </si>
  <si>
    <t>C.2</t>
  </si>
  <si>
    <t>C.3</t>
  </si>
  <si>
    <t>QUADRO-RESUMO DO CUSTO POR EMPREGADO</t>
  </si>
  <si>
    <t>Mão de obra vinculada à execução contratual</t>
  </si>
  <si>
    <t>Módulo 4 - Custo de Reposição do Profissional Ausente</t>
  </si>
  <si>
    <t>Subtotal (A + B +C+ D+E)</t>
  </si>
  <si>
    <t>Valor Total por Empregado</t>
  </si>
  <si>
    <t>PLANILHA DE CUSTOS E FORMAÇÃO DE PREÇOS</t>
  </si>
  <si>
    <r>
      <rPr>
        <b/>
        <sz val="11"/>
        <color rgb="FF000000"/>
        <rFont val="Calibri"/>
        <charset val="134"/>
      </rPr>
      <t xml:space="preserve">Processo Administrativo n.° </t>
    </r>
    <r>
      <rPr>
        <sz val="11"/>
        <color rgb="FF000000"/>
        <rFont val="Calibri"/>
        <charset val="134"/>
      </rPr>
      <t>23381.004959.2021-15</t>
    </r>
  </si>
  <si>
    <t>Licitação n°</t>
  </si>
  <si>
    <t>005/2021</t>
  </si>
  <si>
    <t>Discriminação dos Serviços (Dados Referente à Contratação)</t>
  </si>
  <si>
    <t>Data -  Apresentação da Proposta</t>
  </si>
  <si>
    <t>....../......./20.......</t>
  </si>
  <si>
    <t>Município - ISSQN</t>
  </si>
  <si>
    <t>ISSQN 5 % (cinco por cento)</t>
  </si>
  <si>
    <t>Ano Acordo, Convenção ou Dissídio Coletivo</t>
  </si>
  <si>
    <t>CCT PB000047/2021</t>
  </si>
  <si>
    <t>Número de Meses de Execução Contratual</t>
  </si>
  <si>
    <t>12 (doze) meses</t>
  </si>
  <si>
    <t>Identificação do Serviço</t>
  </si>
  <si>
    <t>Tipo de Serviço</t>
  </si>
  <si>
    <t>Unidade de Medida</t>
  </si>
  <si>
    <t>Quantidade Total a Contratar</t>
  </si>
  <si>
    <t>Auxiliar Administrativo</t>
  </si>
  <si>
    <t>44 horas</t>
  </si>
  <si>
    <t>MTE</t>
  </si>
  <si>
    <t>4110-10</t>
  </si>
  <si>
    <t>SEAC-PB</t>
  </si>
  <si>
    <t>01/JANEIRO</t>
  </si>
  <si>
    <t>GRUPO IV</t>
  </si>
  <si>
    <t>BASE DE CÁLCULO PARA O SUBMÓDULO 2.2</t>
  </si>
  <si>
    <t>MÓDULO 1</t>
  </si>
  <si>
    <t>MÓDULO 2.1</t>
  </si>
  <si>
    <t>TOTAL</t>
  </si>
  <si>
    <t>SAT (+FAP de 0,5 a 2,0) (Variação: 0,5% a 6 %)</t>
  </si>
  <si>
    <r>
      <rPr>
        <sz val="11"/>
        <color rgb="FF000000"/>
        <rFont val="Calibri"/>
        <charset val="134"/>
      </rPr>
      <t>Intervalo Intrajornada (</t>
    </r>
    <r>
      <rPr>
        <sz val="10"/>
        <color rgb="FF000000"/>
        <rFont val="Calibri"/>
        <charset val="134"/>
      </rPr>
      <t>não usufruído pelo empregado</t>
    </r>
    <r>
      <rPr>
        <sz val="11"/>
        <color rgb="FF000000"/>
        <rFont val="Calibri"/>
        <charset val="134"/>
      </rPr>
      <t>)</t>
    </r>
  </si>
  <si>
    <t>Benefício Odontológico</t>
  </si>
  <si>
    <t>Auxílio Morte/Funeral</t>
  </si>
  <si>
    <t>Incidência de GPS, FGTS e outras contribuições sobre o Aviso Prévio Trabalhado</t>
  </si>
  <si>
    <t>BASE DE CÁLCULO PARA O MÓDULO 4</t>
  </si>
  <si>
    <t>MÓDULO 2</t>
  </si>
  <si>
    <t>MÓDULO 3</t>
  </si>
  <si>
    <t>Substituto na cobertura de 13º (décimo terceiro) Salário, Férias e Adicional de Férias</t>
  </si>
  <si>
    <t>Substituto na cobertura de Outras ausências (especificar)</t>
  </si>
  <si>
    <t>*Nota: APLICÁVEL, APENAS, PARA quando o TITULAR do posto USUFRUIR do descanso intrajornada e o posto de trabalho NÃO PUDER FICAR DESCOBERTO</t>
  </si>
  <si>
    <t>*=TRUNCAR(($D$86/220)*(1*(365/12))/2)</t>
  </si>
  <si>
    <t>*Nota: Se o titular USUFRUIR do descanso intrajornada, o total é o somatório dos subitens 4.1 e 4.2</t>
  </si>
  <si>
    <t>Uniformes e Equipamento de Proteção Individual - EPI</t>
  </si>
  <si>
    <t>Equipamentos de Proteção Coletiva - EPC</t>
  </si>
  <si>
    <t>Diárias</t>
  </si>
  <si>
    <t>BASE DE CÁLCULO PARA O MÓDULO 6</t>
  </si>
  <si>
    <t>MÓDULO 4</t>
  </si>
  <si>
    <t>MÓDULO 5</t>
  </si>
  <si>
    <t>CÁLCULO POR DENTRO</t>
  </si>
  <si>
    <t>TOTAL DOS TRIBUTOS</t>
  </si>
  <si>
    <t>BASE DE CÁLCULO</t>
  </si>
  <si>
    <t>ÍNDICE</t>
  </si>
  <si>
    <t>C.1 - PIS</t>
  </si>
  <si>
    <t>C.2 - COFINS</t>
  </si>
  <si>
    <t>C.3 - ISS</t>
  </si>
  <si>
    <t>VALOR TOTAL POR EMPREGADO</t>
  </si>
  <si>
    <t>Agente de Portaria</t>
  </si>
  <si>
    <t>Posto 12 x 36 horas</t>
  </si>
  <si>
    <t>5174-15</t>
  </si>
  <si>
    <t>GRUPO III</t>
  </si>
  <si>
    <t>VALOR TOTAL DO POSTO</t>
  </si>
  <si>
    <t>CCT PB000035/2019*</t>
  </si>
  <si>
    <t>Motorista Interestadual</t>
  </si>
  <si>
    <t>7823-05</t>
  </si>
  <si>
    <t>SMTTRPC-PB</t>
  </si>
  <si>
    <t>* A presente CCT PB000035/2019 não encontra-se vigente, mas corresponde à CCT a qual o atual contrato, junto à Administração, encontra-se vinculado.</t>
  </si>
  <si>
    <r>
      <rPr>
        <b/>
        <sz val="11"/>
        <rFont val="Calibri"/>
        <charset val="134"/>
      </rPr>
      <t xml:space="preserve">Processo Administrativo n.° </t>
    </r>
    <r>
      <rPr>
        <sz val="11"/>
        <rFont val="Calibri"/>
        <charset val="134"/>
      </rPr>
      <t>23381.004959.2021-15</t>
    </r>
  </si>
  <si>
    <t>CCT PB 000047/2021</t>
  </si>
  <si>
    <t>Eletricista</t>
  </si>
  <si>
    <t>7156-10</t>
  </si>
  <si>
    <t>GRUPO VIII</t>
  </si>
  <si>
    <t>Lei n.° 12.740/2012 – NR 16 Anexo IV</t>
  </si>
  <si>
    <r>
      <rPr>
        <sz val="11"/>
        <rFont val="Calibri"/>
        <charset val="134"/>
      </rPr>
      <t>Intervalo Intrajornada (</t>
    </r>
    <r>
      <rPr>
        <sz val="10"/>
        <rFont val="Calibri"/>
        <charset val="134"/>
      </rPr>
      <t>não usufruído pelo empregado</t>
    </r>
    <r>
      <rPr>
        <sz val="11"/>
        <rFont val="Calibri"/>
        <charset val="134"/>
      </rPr>
      <t>)</t>
    </r>
  </si>
  <si>
    <t>Auxiliar de Manutenção Predial</t>
  </si>
  <si>
    <t>5143-10</t>
  </si>
  <si>
    <t>GRUPO IX</t>
  </si>
  <si>
    <t>Pintor</t>
  </si>
  <si>
    <t>7166-10</t>
  </si>
  <si>
    <t>Técnico Mecânico em Refrigeração</t>
  </si>
  <si>
    <t>7257-05</t>
  </si>
  <si>
    <t>Jardineiro</t>
  </si>
  <si>
    <t>6220-10</t>
  </si>
  <si>
    <t>DIÁRIAS</t>
  </si>
  <si>
    <t>QUANTIDADE ESTIMADA ANUAL DE DIÁRIAS</t>
  </si>
  <si>
    <t>VALOR UNITÁRIO</t>
  </si>
  <si>
    <t>VALOR TOTAL ESTIMADO</t>
  </si>
  <si>
    <t>(A)</t>
  </si>
  <si>
    <t>(B)</t>
  </si>
  <si>
    <t>(C)=(A) X (B)</t>
  </si>
  <si>
    <t>TRIBUTAÇÃO INCIDENTE</t>
  </si>
  <si>
    <t>FATURAMENTO</t>
  </si>
  <si>
    <t>VALOR UNITÁRIO DA DIÁRIA</t>
  </si>
  <si>
    <t>COEFICIENTE</t>
  </si>
  <si>
    <t>CUSTOS INDIRETOS E LUCRO</t>
  </si>
  <si>
    <t>PERCENTUAL</t>
  </si>
  <si>
    <t>VALOR</t>
  </si>
  <si>
    <t>CUSTOS INDIRETOS</t>
  </si>
  <si>
    <t>LUCRO</t>
  </si>
  <si>
    <t>SUBTOTAL</t>
  </si>
  <si>
    <t>TRIBUTOS SOBRE O FATURAMENTO*</t>
  </si>
  <si>
    <t>VALOR**</t>
  </si>
  <si>
    <t>*FATURAMENTO: Considera-se faturamento para o cálculo dos tributos: o valor da diária + (custos indiretos e lucro). Ex.: Os tributos foram
calculados por dentro utilizando o coeficiente (1 - 8,65% = 91,35% ou 0,9135).</t>
  </si>
  <si>
    <t>**((Vr. faturamento) / (0,9135)) x Percentual da alíquota do tributo.</t>
  </si>
  <si>
    <t>UNIFORMES</t>
  </si>
  <si>
    <t>AUXILIAR ADMINISTRATIVO</t>
  </si>
  <si>
    <t>ITEM</t>
  </si>
  <si>
    <t>PEÇA</t>
  </si>
  <si>
    <t>DESCRIÇÃO</t>
  </si>
  <si>
    <t>UNIDADE</t>
  </si>
  <si>
    <t>VALOR MÉDIO UNITÁRIO (R$)</t>
  </si>
  <si>
    <t>QUANTIDADE ANUAL</t>
  </si>
  <si>
    <t>VALOR ANUAL POR EMPREGADO (R$)</t>
  </si>
  <si>
    <t>VALOR MENSAL POR EMPREGADO (R$)</t>
  </si>
  <si>
    <t>CALÇA</t>
  </si>
  <si>
    <t>Calça ou Saia social, na cor preta, em tecido de poliviscose.</t>
  </si>
  <si>
    <t>Unidade</t>
  </si>
  <si>
    <t>BLAZER</t>
  </si>
  <si>
    <t>Blazer social de mangas longas, abotoamento frontal contendo a identificação da Contratada.</t>
  </si>
  <si>
    <t>CAMISA</t>
  </si>
  <si>
    <t>Camisa social, na cor branca, de mangas  3/4, tecido com o mínimo de 50% de fibras naturais, contendo a identificação da Contratada.</t>
  </si>
  <si>
    <t>Camisa tipo Polo em Piquet de Malha – 50% algodão e 50% poliéster,  com mangas curtas, identificação da empresa na parte frontal, na cor Branca.</t>
  </si>
  <si>
    <t>CALÇADO</t>
  </si>
  <si>
    <t>Sapato em couro, na cor preta, solado antiderrapante.</t>
  </si>
  <si>
    <t>Par</t>
  </si>
  <si>
    <t>MEIA</t>
  </si>
  <si>
    <t>Meia, modelo cano alto , composição: 88% Algodão, 2% Lycra e 10% Poliamida, na cor preta.</t>
  </si>
  <si>
    <t>CRACHÁ</t>
  </si>
  <si>
    <t xml:space="preserve"> Crachá de identiﬁcação, em plástico rígido, contendo logomarca da empresa, foto e nome completo do funcionário.</t>
  </si>
  <si>
    <t>PORTEIRO</t>
  </si>
  <si>
    <t>CAPA PARA CHUVA</t>
  </si>
  <si>
    <t>Capa para chuva, em material plástico, cor preta com faixas fluorescentes.</t>
  </si>
  <si>
    <t>MOTORISTA INTERMUNICIPAL E INTERESTADUAL</t>
  </si>
  <si>
    <t>Calça social, na cor preta, em tecido de poliviscose.</t>
  </si>
  <si>
    <t>MANGUITO PROTEÇÃO UV</t>
  </si>
  <si>
    <t>Manguito Proteção UV 50: Dimensões Aproximadas: P: 9x27,7 cm (L x C), G: 9,5x41 cm (L x P), Composição: 94% Poliamida e 6% Elastano; Proteção UV, Antimicrobial, Seamless Dry, Proteção Solar: Com FPS; na cor preta.</t>
  </si>
  <si>
    <t>UNIFORMES E EQUIPAMENTOS DE PROTEÇÃO INDIVIDUAL E COLETIVO</t>
  </si>
  <si>
    <t>ELETRICISTA</t>
  </si>
  <si>
    <t>Calça com cós de elástico, dois bolsos frontais e dois bolsos na traseira, confeccionado em tecido 100% algodão com tratamento retardante a chama, sem partes metálicas, com fitas refletivas nas pernas.</t>
  </si>
  <si>
    <t>Camisa com gola tipo italiana, com mangas longas e punhos americanos, com fitas refletivas na altura dos ombros e costas e identificação da empresa na parte frontal, confeccionadas em tecido 100% algodão com tratamento retardante a chama.</t>
  </si>
  <si>
    <t>BONÉ</t>
  </si>
  <si>
    <t>Boné árabe em brim 100% algodão para proteção da face em trabalhos a céu aberto.</t>
  </si>
  <si>
    <t>Calçado de segurança tipo botina, confeccionado em couro vaqueta, fechamento em elástico, com biqueira de composite, solado em poliuretano bidensidade, indicado para proteção dos pés contra riscos de natureza leve, agentes abrasivos, escoriantes e choques elétricos.</t>
  </si>
  <si>
    <t>CAPACETE</t>
  </si>
  <si>
    <t>Capacete de segurança, tipo II classe B, aba frontal, injetados em material plástico, com carneira com ajuste traseiro e aranha, tira de suor confeccionada em TNT dublado com espuma, com jugular confeccionada com tecido de nylon e ajuste através de passador plástico, cor laranja, com selo de marcação do INMETRO.</t>
  </si>
  <si>
    <t>CINTO DE SEGURANÇA</t>
  </si>
  <si>
    <t>Conjunto cinto de segurança tipo paraquedista com talabarte duplo e kit trava queda (o cinto de segurança e o talabarte deverão ter o mesmo C.A.)</t>
  </si>
  <si>
    <t>Conjunto</t>
  </si>
  <si>
    <t>LUVA</t>
  </si>
  <si>
    <t>Luva de segurança isolante em borracha para alta tensão 20Kv, classe 2, para tensão máxima de uso até 17.000V.</t>
  </si>
  <si>
    <t>Luva de segurança confeccionada em malha tricotada 4 fios algodão, palma com pigmento de PVC, cano curto, para uso em serviços gerais.</t>
  </si>
  <si>
    <t>ÓCULOS</t>
  </si>
  <si>
    <t>Óculos de proteção individual com lentes incolor, armação em policarbonato, lente em policarbonato, anti-embaçante e anti-risco. Modelo de sobreposição (p/ser usado sobre óculos graduados).</t>
  </si>
  <si>
    <t>PROTETOR AURICULAR</t>
  </si>
  <si>
    <t>Protetor auricular, tipo plug de três flanges, material silicone, características adicionais anti-alérgico/atóxico.</t>
  </si>
  <si>
    <t>PROTETOR SOLAR</t>
  </si>
  <si>
    <t>Protetor solar fator de proteção FPS 30 ou superior.</t>
  </si>
  <si>
    <t>RESPIRADOR FACIAL</t>
  </si>
  <si>
    <t>Respirador semifacial PFF2 dobrável, descartável, sem válvula. Indicado para proteção respiratória em ambientes hospitalares contra presença de aerodispersóides e outros agentes biológicos, aplicando-se ainda contra fumos, névoas e poeiras tóxicas.</t>
  </si>
  <si>
    <t>AUXILIAR DE MANUTENÇÃO PREDIAL</t>
  </si>
  <si>
    <t>Calça com cós de elástico, dois bolsos frontais e dois bolsos na traseira, confeccionado em brim 100% algodão, sem partes metálicas.</t>
  </si>
  <si>
    <t>Camisa com gola tipo italiana, com mangas curtas, identificação da empresa na parte frontal, confeccionada em brim 100% algodão.</t>
  </si>
  <si>
    <r>
      <rPr>
        <i/>
        <sz val="11"/>
        <rFont val="Carlito"/>
        <charset val="134"/>
      </rPr>
      <t>Calçado de segurança tipo botina, confeccionado em couro vaqueta, fechamento em elástico, com biqueira de aço, solado em poliuretano</t>
    </r>
    <r>
      <rPr>
        <i/>
        <sz val="11"/>
        <rFont val="Arial"/>
        <charset val="134"/>
      </rPr>
      <t> </t>
    </r>
    <r>
      <rPr>
        <i/>
        <sz val="11"/>
        <rFont val="Carlito"/>
        <charset val="134"/>
      </rPr>
      <t>bidensidade.</t>
    </r>
  </si>
  <si>
    <r>
      <rPr>
        <i/>
        <sz val="11"/>
        <rFont val="Carlito"/>
        <charset val="134"/>
      </rPr>
      <t>Calçado ocupacional de uso profissional, tipo bota PVC cano longo, impermeável, confeccionado em policloreto de vinila (PVC), com resistência química, sem biqueira, propriedades antiderrapantes,</t>
    </r>
    <r>
      <rPr>
        <i/>
        <sz val="11"/>
        <rFont val="Arial"/>
        <charset val="134"/>
      </rPr>
      <t> </t>
    </r>
    <r>
      <rPr>
        <i/>
        <sz val="11"/>
        <rFont val="Carlito"/>
        <charset val="134"/>
      </rPr>
      <t>para uso em locais alagadiços.</t>
    </r>
  </si>
  <si>
    <t>Capacete de segurança, tipo II classe A, aba frontal, com carneira e jugular. Regulagem de tamanho através de ajuste simples, cor azul, com selo de marcação do INMETRO.</t>
  </si>
  <si>
    <t>PINTOR</t>
  </si>
  <si>
    <r>
      <t>Calçado de segurança tipo botina, confeccionado em couro vaqueta, fechamento em elástico, com biqueira de aço, solado em poliuretano</t>
    </r>
    <r>
      <rPr>
        <i/>
        <sz val="11"/>
        <rFont val="Arial"/>
        <charset val="134"/>
      </rPr>
      <t> </t>
    </r>
    <r>
      <rPr>
        <i/>
        <sz val="11"/>
        <rFont val="Carlito"/>
        <charset val="134"/>
      </rPr>
      <t>bidensidade.</t>
    </r>
  </si>
  <si>
    <t>TÉCNICO MECÂNICO EM REFRIGERAÇÃO</t>
  </si>
  <si>
    <t>JARDINEIRO</t>
  </si>
  <si>
    <r>
      <t>Calçado ocupacional de uso profissional, tipo bota PVC cano longo, impermeável, confeccionado em policloreto de vinila (PVC), com resistência química, sem biqueira, propriedades antiderrapantes,</t>
    </r>
    <r>
      <rPr>
        <i/>
        <sz val="11"/>
        <rFont val="Arial"/>
        <charset val="134"/>
      </rPr>
      <t> </t>
    </r>
    <r>
      <rPr>
        <i/>
        <sz val="11"/>
        <rFont val="Carlito"/>
        <charset val="134"/>
      </rPr>
      <t>para uso em locais alagadiços.</t>
    </r>
  </si>
  <si>
    <t>CAPA DE CHUVA</t>
  </si>
  <si>
    <t>Capa de chuva confeccionada em PVC com forro de poliéster, com mangas, capuz conjugado, fechamento frontal por meio de botões, fechamento das costuras através de solda eletrônica.</t>
  </si>
  <si>
    <t>Materiais - Posto de Serviços de Agente de Portaria</t>
  </si>
  <si>
    <t>Peça</t>
  </si>
  <si>
    <t>Valor Médio Unitário (R$)</t>
  </si>
  <si>
    <t>Quantidade Anual</t>
  </si>
  <si>
    <t>Valor Anual/ Empregado (R$)</t>
  </si>
  <si>
    <t>Valor Mensal/ Empregado</t>
  </si>
  <si>
    <t>Livro de ocorrências</t>
  </si>
  <si>
    <t>Livro Termo de Ocorrência, capa dura, medindo aproximadamente 22x33 cm, com 50 folhas.</t>
  </si>
  <si>
    <t>Caneta esferográfica</t>
  </si>
  <si>
    <t>Caneta esferográfica, material plástico, ponteira esfera de tugstênio, tipo escrita média, cor tinta AZUL, características adicionais: atóxica, corpo cilindrico</t>
  </si>
  <si>
    <t>Prancheta</t>
  </si>
  <si>
    <t>PRANCHETA em acrílico, com prendedor metálico, formato oficio 2, dimensões 216 x 330 mm</t>
  </si>
  <si>
    <t>MATERIAIS</t>
  </si>
  <si>
    <t>QUANTIDADE</t>
  </si>
  <si>
    <t>VALOR TOTAL</t>
  </si>
  <si>
    <t>Alicate universal 8”</t>
  </si>
  <si>
    <t>UND</t>
  </si>
  <si>
    <t>Alicate de pressão 8”</t>
  </si>
  <si>
    <t>Alicate de corte 10”</t>
  </si>
  <si>
    <t>Alicate de bico 10”</t>
  </si>
  <si>
    <t>Chave de fenda grande</t>
  </si>
  <si>
    <t>Chaves de fenda média</t>
  </si>
  <si>
    <t>Chave de fenda pequena</t>
  </si>
  <si>
    <t>Chave Philips grande</t>
  </si>
  <si>
    <t>Chaves Philips pequena</t>
  </si>
  <si>
    <t>Chave para teste elétrico</t>
  </si>
  <si>
    <t>Chave inglesa 12"</t>
  </si>
  <si>
    <t>Jogo de chave Allen</t>
  </si>
  <si>
    <t>Jogo de chave boca/estria de 3/8”a 1”</t>
  </si>
  <si>
    <t>Jogo de chave de encaixe de 3/8”a 1 ¼”</t>
  </si>
  <si>
    <t>Jogo de brocas videa de 3,5 mm a 9,5 mm</t>
  </si>
  <si>
    <t>Jogo de brocas de aço rápido de 1/16” a 3/16”</t>
  </si>
  <si>
    <t>Estilete</t>
  </si>
  <si>
    <t>Arco de serra</t>
  </si>
  <si>
    <t>Alicate de papagaio</t>
  </si>
  <si>
    <t>Chave de grifa 18”</t>
  </si>
  <si>
    <t>Martelo bola de ½ kg</t>
  </si>
  <si>
    <t>Marreta de ½ kg</t>
  </si>
  <si>
    <t>Marreta de 1 kg</t>
  </si>
  <si>
    <t>Talhadeira de 6”</t>
  </si>
  <si>
    <t>Talhadeira de 8”</t>
  </si>
  <si>
    <t>Tesoura para chapa de alumínio</t>
  </si>
  <si>
    <t>Pá quadrada</t>
  </si>
  <si>
    <t>Enxada</t>
  </si>
  <si>
    <t>Chibanca</t>
  </si>
  <si>
    <t>Picareta</t>
  </si>
  <si>
    <t>Alavanca</t>
  </si>
  <si>
    <t>Peneira para areia</t>
  </si>
  <si>
    <t>Marretas de borracha para cerâmica</t>
  </si>
  <si>
    <t>Régua de alumínio</t>
  </si>
  <si>
    <t>Prumo</t>
  </si>
  <si>
    <t>Escalas métrica</t>
  </si>
  <si>
    <t>Colher para pedreiro</t>
  </si>
  <si>
    <t>Ponteiro</t>
  </si>
  <si>
    <t>Torquês</t>
  </si>
  <si>
    <t>Esquadro</t>
  </si>
  <si>
    <t>Bobina de linha de náilon</t>
  </si>
  <si>
    <t>Desempenadeira de madeira</t>
  </si>
  <si>
    <t>Desempenadeira de aço</t>
  </si>
  <si>
    <t>Pé de cabra</t>
  </si>
  <si>
    <t>Nível de alumínio</t>
  </si>
  <si>
    <t>Nível de mangueira transparente</t>
  </si>
  <si>
    <t>Trena métrica de 30m</t>
  </si>
  <si>
    <t>Diamante manual para corte de cerâmica</t>
  </si>
  <si>
    <t>Pincéis de pêlo</t>
  </si>
  <si>
    <t>Bandeja para pintura</t>
  </si>
  <si>
    <t>Rolos de esponja para pintura látex</t>
  </si>
  <si>
    <t>Rolos de lã para pintura látex</t>
  </si>
  <si>
    <t>Rolos de borracha para pintura texturizada</t>
  </si>
  <si>
    <t>Broxa</t>
  </si>
  <si>
    <t>Espátula de metal</t>
  </si>
  <si>
    <t>Espátula de metal dentada</t>
  </si>
  <si>
    <t>Pazinha larga para vazo 30cm</t>
  </si>
  <si>
    <t>Garfo largo 24cm</t>
  </si>
  <si>
    <t>Escardilho</t>
  </si>
  <si>
    <t>Tesoura para colheita e poda</t>
  </si>
  <si>
    <t>Tesoura de poda de cerca viva e grama</t>
  </si>
  <si>
    <t>Serrote Poda dobrável 30cm madeira</t>
  </si>
  <si>
    <t>Vassoura para Grama de metal - 18 dentes</t>
  </si>
  <si>
    <t>Pá Cavadeira Articulada-cabo 110 mm</t>
  </si>
  <si>
    <t>Facão 14” para mato cabo de madeira</t>
  </si>
  <si>
    <t>Carrinho de mão 60 l com rodas de borracha</t>
  </si>
  <si>
    <t>Pá de bico nº 3 com cabo</t>
  </si>
  <si>
    <t>Desentupidor de pia</t>
  </si>
  <si>
    <t>Desentupidor de vaso</t>
  </si>
  <si>
    <t>Desentupidor espiral</t>
  </si>
  <si>
    <t>Extensão elétrica 10 m</t>
  </si>
  <si>
    <t>Ferro de solda</t>
  </si>
  <si>
    <t>Lanternas holofote recarregável de Led</t>
  </si>
  <si>
    <t>Multiteste eletrônico</t>
  </si>
  <si>
    <t>Pente de Aletas</t>
  </si>
  <si>
    <t>Termômetro</t>
  </si>
  <si>
    <t>Chave Catraca</t>
  </si>
  <si>
    <t>Conjunto Serra Copo</t>
  </si>
  <si>
    <t>Cortador de Tubo</t>
  </si>
  <si>
    <t>Curvador de Tubo</t>
  </si>
  <si>
    <t>QUANTIDADE DE PROFISSIONAIS EMPREGADOS NA EXECUÇÃO DOS SERVIÇOS DE MANUTENÇÃO</t>
  </si>
  <si>
    <t>VALOR MENSAL POR EMPREGADO</t>
  </si>
  <si>
    <t>EQUIPAMENTOS</t>
  </si>
  <si>
    <t>Alicate voltímetro e Amperímetro digital</t>
  </si>
  <si>
    <t>Escada de fibra de vidro extensível com corda 5,70 X 10,20 m</t>
  </si>
  <si>
    <t>Máquina manual para corte de cerâmica</t>
  </si>
  <si>
    <t>Chave de grifa 36”</t>
  </si>
  <si>
    <t>Andaime tubular de ferro com sapata e roda</t>
  </si>
  <si>
    <t>Compressor portátil</t>
  </si>
  <si>
    <t>Furadeira elétrica impacto profissional</t>
  </si>
  <si>
    <t>Lixadeira elétrica</t>
  </si>
  <si>
    <t>Moto esmeril bancada</t>
  </si>
  <si>
    <t>Serra para mármore (makita)</t>
  </si>
  <si>
    <t>Serra tico-tico</t>
  </si>
  <si>
    <t>Torno</t>
  </si>
  <si>
    <t>Lavadora de Alta Pressão 1500 W</t>
  </si>
  <si>
    <t>Aspirador de Pó</t>
  </si>
  <si>
    <t>Bomba de vácuo</t>
  </si>
  <si>
    <t>Conjunto Manifold</t>
  </si>
  <si>
    <t>Vacuômetro</t>
  </si>
  <si>
    <t>Detector de Vazamentos</t>
  </si>
  <si>
    <t>Maçarico Portátil</t>
  </si>
  <si>
    <t>Capacímetro</t>
  </si>
  <si>
    <t>Manutenção mensal</t>
  </si>
  <si>
    <t>Depreciação mensal</t>
  </si>
  <si>
    <t>Custo Total dos equipamentos (Manutenção + Depreciação)</t>
  </si>
  <si>
    <r>
      <rPr>
        <b/>
        <sz val="11"/>
        <color theme="1"/>
        <rFont val="Arial"/>
        <charset val="134"/>
      </rPr>
      <t>Manutenção de Equipamentos</t>
    </r>
    <r>
      <rPr>
        <sz val="11"/>
        <color theme="1"/>
        <rFont val="Arial"/>
        <charset val="134"/>
      </rPr>
      <t xml:space="preserve">: O valor do insumo Manutenção de Equipamentos foi obtido adotando-se a metodologia das Tabelas de Composições de Preços para Orçamentação, publicação da Editora Pini, para equipamentos de pequeno porte (aproximadamente 1,5HP), com utilização, em média, de 83h/mês, em conjunto com o Manual de Custos Rodoviários do DNIT, Volume 1, de 2003:
M= k x 83 x V0/VU, onde:
M = custo de manutenção mensal
K = 0,6 (conforme adotado pelo Sicro2 /DNIT – Manual de Custos Rodoviários – Volume 1, página 83);
VU = Vida Útil = 10.000 horas
V0 = Valor de aquisição do equipamento Assim:
Manutenção Mensal = Valor total dos equipamentos (ANEXO IV) x 0,5% a.m.;
</t>
    </r>
    <r>
      <rPr>
        <b/>
        <sz val="11"/>
        <color theme="1"/>
        <rFont val="Arial"/>
        <charset val="134"/>
      </rPr>
      <t>Depreciação de Equipamentos:</t>
    </r>
    <r>
      <rPr>
        <sz val="11"/>
        <color theme="1"/>
        <rFont val="Arial"/>
        <charset val="134"/>
      </rPr>
      <t xml:space="preserve"> Para o cálculo do insumo Depreciação de Equipamentos, adotou-se vida útil de 8 anos e valor residual de 20%, com base no Manual de Custos Rodoviários do DNIT, volume 1, de 2003.
Depreciação Mensal = [Valor total dos equipamentos x (1,00-0,20)]/(12x8);</t>
    </r>
  </si>
  <si>
    <t>EQUIPAMENTOS DE PROTEÇÃO COLETIVA</t>
  </si>
  <si>
    <t>KIT PRIMEIRO SOCORROS</t>
  </si>
  <si>
    <t>Caixa plástica tipo maleta para acondicionamento do Kit</t>
  </si>
  <si>
    <t>Tesoura sem ponta</t>
  </si>
  <si>
    <t>Luvas de procedimento</t>
  </si>
  <si>
    <t>Caixa com 50 pares</t>
  </si>
  <si>
    <t>Máscara cirúrgica</t>
  </si>
  <si>
    <t>Gazes</t>
  </si>
  <si>
    <t>Pacote</t>
  </si>
  <si>
    <t>Esparadrapo</t>
  </si>
  <si>
    <t>Rolo</t>
  </si>
  <si>
    <t>Atadura de crepe</t>
  </si>
  <si>
    <t>Soro fisiológico SF 0,9% 250 mL</t>
  </si>
  <si>
    <t>Frasco</t>
  </si>
  <si>
    <t>Antisséptico degermante 100ml</t>
  </si>
  <si>
    <t>Corda de segurança em poliamida de 12 mm de diâmetro Rolo com 100 metros</t>
  </si>
  <si>
    <t>Mangas isolantes de borracha Classe 2 (M.T.)</t>
  </si>
  <si>
    <t>Placas de sinalização “Atenção - Em manutenção”</t>
  </si>
  <si>
    <t>Cone em PVC, cor laranja com faixas refletivas, tamanho 75 cm.</t>
  </si>
  <si>
    <t>QUANTIDADE DE PROFISSIONAIS A SEREM CONTRATADOS</t>
  </si>
  <si>
    <t>PLANILHA RESUMO</t>
  </si>
  <si>
    <t>Quantidade</t>
  </si>
  <si>
    <t xml:space="preserve">VIGÊNCIA </t>
  </si>
  <si>
    <t>VALOR UNITÁRIO MÁXIMO ACEITÁVEL</t>
  </si>
  <si>
    <t>VALOR TOTAL MÁXIMO ACEITÁVEL</t>
  </si>
  <si>
    <r>
      <rPr>
        <sz val="11"/>
        <color theme="1"/>
        <rFont val="Calibri"/>
        <charset val="134"/>
        <scheme val="minor"/>
      </rPr>
      <t xml:space="preserve">PRESTAÇÃO DE SERVIÇOS DE APOIO ADMINISTRATIVO - Posto de serviços: </t>
    </r>
    <r>
      <rPr>
        <b/>
        <sz val="11"/>
        <color theme="1"/>
        <rFont val="Calibri"/>
        <charset val="134"/>
        <scheme val="minor"/>
      </rPr>
      <t>AUXILIAR ADMINISTRATIVO - CBO: 4110-10</t>
    </r>
    <r>
      <rPr>
        <sz val="11"/>
        <color theme="1"/>
        <rFont val="Calibri"/>
        <charset val="134"/>
        <scheme val="minor"/>
      </rPr>
      <t>, em jornada semanal de 44 (quarenta e quatro) horas.</t>
    </r>
  </si>
  <si>
    <t>POSTO</t>
  </si>
  <si>
    <r>
      <rPr>
        <sz val="11"/>
        <color theme="1"/>
        <rFont val="Calibri"/>
        <charset val="134"/>
        <scheme val="minor"/>
      </rPr>
      <t xml:space="preserve">PRESTAÇÃO DE SERVIÇOS DE APOIO ADMINISTRATIVO - Posto de serviços: </t>
    </r>
    <r>
      <rPr>
        <b/>
        <sz val="11"/>
        <color theme="1"/>
        <rFont val="Calibri"/>
        <charset val="134"/>
        <scheme val="minor"/>
      </rPr>
      <t>PORTARIA - CBO: 5174-15</t>
    </r>
    <r>
      <rPr>
        <sz val="11"/>
        <color theme="1"/>
        <rFont val="Calibri"/>
        <charset val="134"/>
        <scheme val="minor"/>
      </rPr>
      <t>, em jornada de 12 (doze) horas diurnas, de segunda-feira a domingo, envolvendo 2 (dois) agentes de portarias, em turnos de 12 (doze) x 36 (trinta e seis) horas.</t>
    </r>
  </si>
  <si>
    <r>
      <rPr>
        <sz val="11"/>
        <color theme="1"/>
        <rFont val="Calibri"/>
        <charset val="134"/>
        <scheme val="minor"/>
      </rPr>
      <t xml:space="preserve">PRESTAÇÃO DE SERVIÇOS DE APOIO ADMINISTRATIVO - Posto de serviços: </t>
    </r>
    <r>
      <rPr>
        <b/>
        <sz val="11"/>
        <color theme="1"/>
        <rFont val="Calibri"/>
        <charset val="134"/>
        <scheme val="minor"/>
      </rPr>
      <t>MOTORISTA INTERISTADUAL - CBO: 7823 – 05</t>
    </r>
    <r>
      <rPr>
        <sz val="11"/>
        <color theme="1"/>
        <rFont val="Calibri"/>
        <charset val="134"/>
        <scheme val="minor"/>
      </rPr>
      <t>, em jornada semanal de 44 (quarenta e quatro) horas.</t>
    </r>
  </si>
  <si>
    <r>
      <rPr>
        <sz val="11"/>
        <color theme="1"/>
        <rFont val="Calibri"/>
        <charset val="134"/>
        <scheme val="minor"/>
      </rPr>
      <t xml:space="preserve">PRESTAÇÃO DE SERVIÇOS DE APOIO ADMINISTRATIVO - Posto de serviços: </t>
    </r>
    <r>
      <rPr>
        <b/>
        <sz val="11"/>
        <color theme="1"/>
        <rFont val="Calibri"/>
        <charset val="134"/>
        <scheme val="minor"/>
      </rPr>
      <t>ELETRICISTA - CBO: 7156-10,</t>
    </r>
    <r>
      <rPr>
        <sz val="11"/>
        <color theme="1"/>
        <rFont val="Calibri"/>
        <charset val="134"/>
        <scheme val="minor"/>
      </rPr>
      <t xml:space="preserve"> em jornada semanal de 44 (quarenta e quatro) horas.</t>
    </r>
  </si>
  <si>
    <r>
      <rPr>
        <sz val="11"/>
        <color theme="1"/>
        <rFont val="Calibri"/>
        <charset val="134"/>
        <scheme val="minor"/>
      </rPr>
      <t xml:space="preserve">PRESTAÇÃO DE SERVIÇOS DE APOIO ADMINISTRATIVO - Posto de serviços: </t>
    </r>
    <r>
      <rPr>
        <b/>
        <sz val="11"/>
        <color theme="1"/>
        <rFont val="Calibri"/>
        <charset val="134"/>
        <scheme val="minor"/>
      </rPr>
      <t>AUXILIAR DE MANUTENÇÃO PREDIAL - CBO: 5143-10</t>
    </r>
    <r>
      <rPr>
        <sz val="11"/>
        <color theme="1"/>
        <rFont val="Calibri"/>
        <charset val="134"/>
        <scheme val="minor"/>
      </rPr>
      <t>, em jornada semanal de 44 (quarenta e quatro) horas.</t>
    </r>
  </si>
  <si>
    <r>
      <rPr>
        <sz val="11"/>
        <color theme="1"/>
        <rFont val="Calibri"/>
        <charset val="134"/>
        <scheme val="minor"/>
      </rPr>
      <t xml:space="preserve">PRESTAÇÃO DE SERVIÇOS DE APOIO ADMINISTRATIVO - Posto de serviços: </t>
    </r>
    <r>
      <rPr>
        <b/>
        <sz val="11"/>
        <color theme="1"/>
        <rFont val="Calibri"/>
        <charset val="134"/>
        <scheme val="minor"/>
      </rPr>
      <t>PINTOR - CBO: 7166-10,</t>
    </r>
    <r>
      <rPr>
        <sz val="11"/>
        <color theme="1"/>
        <rFont val="Calibri"/>
        <charset val="134"/>
        <scheme val="minor"/>
      </rPr>
      <t xml:space="preserve"> em jornada semanal de 44 (quarenta e quatro) horas.</t>
    </r>
  </si>
  <si>
    <r>
      <rPr>
        <sz val="11"/>
        <color theme="1"/>
        <rFont val="Calibri"/>
        <charset val="134"/>
        <scheme val="minor"/>
      </rPr>
      <t xml:space="preserve">PRESTAÇÃO DE SERVIÇOS DE APOIO ADMINISTRATIVO - Posto de serviços: </t>
    </r>
    <r>
      <rPr>
        <b/>
        <sz val="11"/>
        <color theme="1"/>
        <rFont val="Calibri"/>
        <charset val="134"/>
        <scheme val="minor"/>
      </rPr>
      <t>TÉCNICO MECÂNICO EM REFRIGERAÇÃO - CBO: 7257-05</t>
    </r>
    <r>
      <rPr>
        <sz val="11"/>
        <color theme="1"/>
        <rFont val="Calibri"/>
        <charset val="134"/>
        <scheme val="minor"/>
      </rPr>
      <t>, em jornada semanal de 44 (quarenta e quatro) horas.</t>
    </r>
  </si>
  <si>
    <r>
      <rPr>
        <sz val="11"/>
        <color theme="1"/>
        <rFont val="Calibri"/>
        <charset val="134"/>
        <scheme val="minor"/>
      </rPr>
      <t xml:space="preserve">PRESTAÇÃO DE SERVIÇOS DE APOIO ADMINISTRATIVO - Posto de serviços: </t>
    </r>
    <r>
      <rPr>
        <b/>
        <sz val="11"/>
        <color theme="1"/>
        <rFont val="Calibri"/>
        <charset val="134"/>
        <scheme val="minor"/>
      </rPr>
      <t>JARDINEIRO - CBO 6220-10</t>
    </r>
    <r>
      <rPr>
        <sz val="11"/>
        <color theme="1"/>
        <rFont val="Calibri"/>
        <charset val="134"/>
        <scheme val="minor"/>
      </rPr>
      <t>, em jornada semanal de 44 (quarenta e quatro) horas.</t>
    </r>
  </si>
  <si>
    <t>PAGAMENTO DE DIÁRIAS NACONAIS</t>
  </si>
</sst>
</file>

<file path=xl/styles.xml><?xml version="1.0" encoding="utf-8"?>
<styleSheet xmlns="http://schemas.openxmlformats.org/spreadsheetml/2006/main">
  <numFmts count="13">
    <numFmt numFmtId="176" formatCode="&quot;R$&quot;\ #,##0.00_);[Red]\(&quot;R$&quot;\ #,##0.00\)"/>
    <numFmt numFmtId="177" formatCode="&quot;R$&quot;#,##0.00_);[Red]\(&quot;R$&quot;#,##0.00\)"/>
    <numFmt numFmtId="178" formatCode="_-&quot;R$ &quot;* #,##0.00_-;&quot;-R$ &quot;* #,##0.00_-;_-&quot;R$ &quot;* \-??_-;_-@_-"/>
    <numFmt numFmtId="179" formatCode="_-&quot;R$&quot;* #,##0_-;\-&quot;R$&quot;* #,##0_-;_-&quot;R$&quot;* &quot;-&quot;_-;_-@_-"/>
    <numFmt numFmtId="180" formatCode="_-* #,##0.00_-;\-* #,##0.00_-;_-* &quot;-&quot;??_-;_-@_-"/>
    <numFmt numFmtId="181" formatCode="_-* #,##0_-;\-* #,##0_-;_-* &quot;-&quot;_-;_-@_-"/>
    <numFmt numFmtId="182" formatCode="&quot;R$&quot;\ #,##0.00"/>
    <numFmt numFmtId="183" formatCode="_-&quot;R$&quot;* #,##0.00_-;\-&quot;R$&quot;* #,##0.00_-;_-&quot;R$&quot;* &quot;-&quot;??_-;_-@_-"/>
    <numFmt numFmtId="184" formatCode="&quot;R$&quot;#,##0.00_);[Red]&quot;(R$&quot;#,##0.00\)"/>
    <numFmt numFmtId="185" formatCode="0.00_ "/>
    <numFmt numFmtId="186" formatCode="0.0000_ "/>
    <numFmt numFmtId="187" formatCode="&quot;R$ &quot;#,##0.00"/>
    <numFmt numFmtId="188" formatCode="&quot;R$&quot;#,##0.00"/>
  </numFmts>
  <fonts count="65">
    <font>
      <sz val="11"/>
      <color rgb="FF000000"/>
      <name val="Calibri"/>
      <charset val="134"/>
    </font>
    <font>
      <b/>
      <sz val="11"/>
      <color theme="1"/>
      <name val="Calibri"/>
      <charset val="134"/>
      <scheme val="minor"/>
    </font>
    <font>
      <sz val="11"/>
      <color theme="1"/>
      <name val="Calibri"/>
      <charset val="134"/>
      <scheme val="minor"/>
    </font>
    <font>
      <b/>
      <i/>
      <sz val="11"/>
      <name val="Calibri"/>
      <charset val="134"/>
    </font>
    <font>
      <b/>
      <i/>
      <sz val="11"/>
      <color rgb="FF3F3F3F"/>
      <name val="Calibri"/>
      <charset val="134"/>
    </font>
    <font>
      <i/>
      <sz val="11"/>
      <name val="Times New Roman"/>
      <charset val="134"/>
    </font>
    <font>
      <i/>
      <sz val="11"/>
      <name val="Calibri"/>
      <charset val="134"/>
    </font>
    <font>
      <b/>
      <i/>
      <sz val="11"/>
      <color rgb="FF000000"/>
      <name val="Calibri"/>
      <charset val="134"/>
    </font>
    <font>
      <b/>
      <sz val="11"/>
      <name val="Calibri"/>
      <charset val="134"/>
      <scheme val="minor"/>
    </font>
    <font>
      <sz val="11"/>
      <name val="Calibri"/>
      <charset val="134"/>
      <scheme val="minor"/>
    </font>
    <font>
      <sz val="12"/>
      <name val="Calibri"/>
      <charset val="134"/>
      <scheme val="minor"/>
    </font>
    <font>
      <sz val="11"/>
      <name val="Calibri"/>
      <charset val="134"/>
    </font>
    <font>
      <b/>
      <i/>
      <sz val="11"/>
      <color theme="0"/>
      <name val="Arial"/>
      <charset val="134"/>
    </font>
    <font>
      <b/>
      <i/>
      <sz val="11"/>
      <color rgb="FF000000"/>
      <name val="Arial"/>
      <charset val="134"/>
    </font>
    <font>
      <b/>
      <i/>
      <sz val="11"/>
      <name val="Arial"/>
      <charset val="134"/>
    </font>
    <font>
      <i/>
      <sz val="11"/>
      <color rgb="FF000000"/>
      <name val="Arial"/>
      <charset val="134"/>
    </font>
    <font>
      <i/>
      <sz val="11"/>
      <name val="Arial"/>
      <charset val="134"/>
    </font>
    <font>
      <sz val="11"/>
      <color rgb="FF000000"/>
      <name val="Arial"/>
      <charset val="134"/>
    </font>
    <font>
      <sz val="11"/>
      <name val="Arial"/>
      <charset val="134"/>
    </font>
    <font>
      <b/>
      <i/>
      <sz val="11"/>
      <color theme="1"/>
      <name val="Arial"/>
      <charset val="134"/>
    </font>
    <font>
      <sz val="11"/>
      <color theme="1"/>
      <name val="Arial"/>
      <charset val="134"/>
    </font>
    <font>
      <b/>
      <sz val="11"/>
      <color theme="0"/>
      <name val="Arial"/>
      <charset val="134"/>
    </font>
    <font>
      <b/>
      <sz val="11"/>
      <name val="Arial"/>
      <charset val="134"/>
    </font>
    <font>
      <b/>
      <sz val="11"/>
      <color theme="1"/>
      <name val="Arial"/>
      <charset val="134"/>
    </font>
    <font>
      <b/>
      <sz val="11"/>
      <color theme="0"/>
      <name val="Calibri"/>
      <charset val="134"/>
    </font>
    <font>
      <b/>
      <sz val="11"/>
      <name val="Calibri"/>
      <charset val="134"/>
    </font>
    <font>
      <b/>
      <sz val="11"/>
      <color rgb="FF000000"/>
      <name val="Calibri"/>
      <charset val="134"/>
    </font>
    <font>
      <i/>
      <sz val="11"/>
      <name val="Carlito"/>
      <charset val="134"/>
    </font>
    <font>
      <sz val="11"/>
      <color rgb="FFFF0000"/>
      <name val="Calibri"/>
      <charset val="134"/>
    </font>
    <font>
      <b/>
      <sz val="12"/>
      <name val="Calibri"/>
      <charset val="134"/>
      <scheme val="minor"/>
    </font>
    <font>
      <sz val="11"/>
      <color indexed="8"/>
      <name val="Calibri"/>
      <charset val="134"/>
    </font>
    <font>
      <b/>
      <sz val="12"/>
      <color theme="0"/>
      <name val="Calibri"/>
      <charset val="134"/>
    </font>
    <font>
      <sz val="12"/>
      <name val="Calibri"/>
      <charset val="134"/>
    </font>
    <font>
      <sz val="12"/>
      <color indexed="8"/>
      <name val="Calibri"/>
      <charset val="134"/>
    </font>
    <font>
      <b/>
      <sz val="14"/>
      <name val="Calibri"/>
      <charset val="134"/>
    </font>
    <font>
      <sz val="11"/>
      <color theme="0"/>
      <name val="Calibri"/>
      <charset val="134"/>
    </font>
    <font>
      <sz val="11"/>
      <color theme="5" tint="0.4"/>
      <name val="Calibri"/>
      <charset val="134"/>
    </font>
    <font>
      <b/>
      <sz val="14"/>
      <color rgb="FFFFFFFF"/>
      <name val="Calibri"/>
      <charset val="134"/>
    </font>
    <font>
      <b/>
      <sz val="11"/>
      <color rgb="FFFFFFFF"/>
      <name val="Calibri"/>
      <charset val="134"/>
    </font>
    <font>
      <sz val="11"/>
      <color rgb="FFF4B183"/>
      <name val="Calibri"/>
      <charset val="134"/>
    </font>
    <font>
      <sz val="11"/>
      <color rgb="FFFFFFFF"/>
      <name val="Calibri"/>
      <charset val="134"/>
    </font>
    <font>
      <sz val="9"/>
      <color rgb="FF000000"/>
      <name val="Calibri"/>
      <charset val="134"/>
    </font>
    <font>
      <b/>
      <sz val="11"/>
      <color rgb="FFFA7D00"/>
      <name val="Calibri"/>
      <charset val="0"/>
      <scheme val="minor"/>
    </font>
    <font>
      <b/>
      <sz val="11"/>
      <color theme="3"/>
      <name val="Calibri"/>
      <charset val="134"/>
      <scheme val="minor"/>
    </font>
    <font>
      <sz val="11"/>
      <color rgb="FF006100"/>
      <name val="Calibri"/>
      <charset val="0"/>
      <scheme val="minor"/>
    </font>
    <font>
      <sz val="10"/>
      <name val="Arial"/>
      <charset val="134"/>
    </font>
    <font>
      <sz val="11"/>
      <color theme="1"/>
      <name val="Calibri"/>
      <charset val="0"/>
      <scheme val="minor"/>
    </font>
    <font>
      <sz val="11"/>
      <color rgb="FFFF0000"/>
      <name val="Calibri"/>
      <charset val="0"/>
      <scheme val="minor"/>
    </font>
    <font>
      <b/>
      <sz val="11"/>
      <color theme="1"/>
      <name val="Calibri"/>
      <charset val="0"/>
      <scheme val="minor"/>
    </font>
    <font>
      <i/>
      <sz val="11"/>
      <color rgb="FF7F7F7F"/>
      <name val="Calibri"/>
      <charset val="0"/>
      <scheme val="minor"/>
    </font>
    <font>
      <b/>
      <sz val="18"/>
      <color theme="3"/>
      <name val="Calibri"/>
      <charset val="134"/>
      <scheme val="minor"/>
    </font>
    <font>
      <sz val="11"/>
      <color theme="0"/>
      <name val="Calibri"/>
      <charset val="0"/>
      <scheme val="minor"/>
    </font>
    <font>
      <b/>
      <sz val="13"/>
      <color theme="3"/>
      <name val="Calibri"/>
      <charset val="134"/>
      <scheme val="minor"/>
    </font>
    <font>
      <u/>
      <sz val="11"/>
      <color rgb="FF800080"/>
      <name val="Calibri"/>
      <charset val="0"/>
      <scheme val="minor"/>
    </font>
    <font>
      <sz val="11"/>
      <color rgb="FFFA7D00"/>
      <name val="Calibri"/>
      <charset val="0"/>
      <scheme val="minor"/>
    </font>
    <font>
      <b/>
      <sz val="11"/>
      <color rgb="FFFFFFFF"/>
      <name val="Calibri"/>
      <charset val="0"/>
      <scheme val="minor"/>
    </font>
    <font>
      <sz val="10"/>
      <color theme="1"/>
      <name val="Calibri"/>
      <charset val="134"/>
      <scheme val="minor"/>
    </font>
    <font>
      <u/>
      <sz val="11"/>
      <color rgb="FF0000FF"/>
      <name val="Calibri"/>
      <charset val="0"/>
      <scheme val="minor"/>
    </font>
    <font>
      <sz val="11"/>
      <color rgb="FF9C6500"/>
      <name val="Calibri"/>
      <charset val="0"/>
      <scheme val="minor"/>
    </font>
    <font>
      <b/>
      <sz val="15"/>
      <color theme="3"/>
      <name val="Calibri"/>
      <charset val="134"/>
      <scheme val="minor"/>
    </font>
    <font>
      <b/>
      <sz val="11"/>
      <color rgb="FF3F3F3F"/>
      <name val="Calibri"/>
      <charset val="0"/>
      <scheme val="minor"/>
    </font>
    <font>
      <sz val="11"/>
      <color rgb="FF3F3F76"/>
      <name val="Calibri"/>
      <charset val="0"/>
      <scheme val="minor"/>
    </font>
    <font>
      <sz val="11"/>
      <color rgb="FF9C0006"/>
      <name val="Calibri"/>
      <charset val="0"/>
      <scheme val="minor"/>
    </font>
    <font>
      <sz val="10"/>
      <name val="Calibri"/>
      <charset val="134"/>
    </font>
    <font>
      <sz val="10"/>
      <color rgb="FF000000"/>
      <name val="Calibri"/>
      <charset val="134"/>
    </font>
  </fonts>
  <fills count="53">
    <fill>
      <patternFill patternType="none"/>
    </fill>
    <fill>
      <patternFill patternType="gray125"/>
    </fill>
    <fill>
      <patternFill patternType="solid">
        <fgColor theme="9"/>
        <bgColor theme="9"/>
      </patternFill>
    </fill>
    <fill>
      <patternFill patternType="solid">
        <fgColor theme="0" tint="-0.5"/>
        <bgColor indexed="64"/>
      </patternFill>
    </fill>
    <fill>
      <patternFill patternType="solid">
        <fgColor rgb="FFD7D7D7"/>
        <bgColor indexed="64"/>
      </patternFill>
    </fill>
    <fill>
      <patternFill patternType="solid">
        <fgColor theme="5" tint="0.399945066682943"/>
        <bgColor indexed="64"/>
      </patternFill>
    </fill>
    <fill>
      <patternFill patternType="solid">
        <fgColor theme="5" tint="0.399884029663991"/>
        <bgColor indexed="64"/>
      </patternFill>
    </fill>
    <fill>
      <patternFill patternType="solid">
        <fgColor theme="0" tint="-0.499984740745262"/>
        <bgColor indexed="64"/>
      </patternFill>
    </fill>
    <fill>
      <patternFill patternType="solid">
        <fgColor theme="5" tint="0.399975585192419"/>
        <bgColor indexed="64"/>
      </patternFill>
    </fill>
    <fill>
      <patternFill patternType="solid">
        <fgColor theme="0" tint="-0.149998474074526"/>
        <bgColor indexed="64"/>
      </patternFill>
    </fill>
    <fill>
      <patternFill patternType="solid">
        <fgColor theme="9"/>
        <bgColor indexed="64"/>
      </patternFill>
    </fill>
    <fill>
      <patternFill patternType="solid">
        <fgColor theme="9" tint="0.6"/>
        <bgColor indexed="64"/>
      </patternFill>
    </fill>
    <fill>
      <patternFill patternType="solid">
        <fgColor theme="9" tint="0.4"/>
        <bgColor indexed="64"/>
      </patternFill>
    </fill>
    <fill>
      <patternFill patternType="solid">
        <fgColor theme="5" tint="0.4"/>
        <bgColor indexed="64"/>
      </patternFill>
    </fill>
    <fill>
      <patternFill patternType="solid">
        <fgColor theme="9" tint="0.8"/>
        <bgColor indexed="64"/>
      </patternFill>
    </fill>
    <fill>
      <patternFill patternType="solid">
        <fgColor rgb="FF70AD47"/>
        <bgColor indexed="64"/>
      </patternFill>
    </fill>
    <fill>
      <patternFill patternType="solid">
        <fgColor rgb="FFC5E0B4"/>
        <bgColor indexed="64"/>
      </patternFill>
    </fill>
    <fill>
      <patternFill patternType="solid">
        <fgColor rgb="FFF4B183"/>
        <bgColor indexed="64"/>
      </patternFill>
    </fill>
    <fill>
      <patternFill patternType="solid">
        <fgColor rgb="FFE2F0D9"/>
        <bgColor indexed="64"/>
      </patternFill>
    </fill>
    <fill>
      <patternFill patternType="solid">
        <fgColor rgb="FF70AD47"/>
        <bgColor rgb="FF339966"/>
      </patternFill>
    </fill>
    <fill>
      <patternFill patternType="solid">
        <fgColor rgb="FFC5E0B4"/>
        <bgColor rgb="FFA9D18E"/>
      </patternFill>
    </fill>
    <fill>
      <patternFill patternType="solid">
        <fgColor rgb="FFA9D18E"/>
        <bgColor rgb="FFC5E0B4"/>
      </patternFill>
    </fill>
    <fill>
      <patternFill patternType="solid">
        <fgColor rgb="FFF4B183"/>
        <bgColor rgb="FFFF99CC"/>
      </patternFill>
    </fill>
    <fill>
      <patternFill patternType="solid">
        <fgColor rgb="FFE2F0D9"/>
        <bgColor rgb="FFF2F2F2"/>
      </patternFill>
    </fill>
    <fill>
      <patternFill patternType="solid">
        <fgColor rgb="FFF2F2F2"/>
        <bgColor indexed="64"/>
      </patternFill>
    </fill>
    <fill>
      <patternFill patternType="solid">
        <fgColor rgb="FFC6EFCE"/>
        <bgColor indexed="64"/>
      </patternFill>
    </fill>
    <fill>
      <patternFill patternType="solid">
        <fgColor theme="8" tint="0.599993896298105"/>
        <bgColor indexed="64"/>
      </patternFill>
    </fill>
    <fill>
      <patternFill patternType="solid">
        <fgColor theme="8"/>
        <bgColor indexed="64"/>
      </patternFill>
    </fill>
    <fill>
      <patternFill patternType="solid">
        <fgColor theme="7" tint="0.599993896298105"/>
        <bgColor indexed="64"/>
      </patternFill>
    </fill>
    <fill>
      <patternFill patternType="solid">
        <fgColor rgb="FFA5A5A5"/>
        <bgColor indexed="64"/>
      </patternFill>
    </fill>
    <fill>
      <patternFill patternType="solid">
        <fgColor theme="9" tint="0.399975585192419"/>
        <bgColor indexed="64"/>
      </patternFill>
    </fill>
    <fill>
      <patternFill patternType="solid">
        <fgColor theme="5" tint="0.799981688894314"/>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rgb="FFFFFFCC"/>
        <bgColor indexed="64"/>
      </patternFill>
    </fill>
    <fill>
      <patternFill patternType="solid">
        <fgColor rgb="FFFFEB9C"/>
        <bgColor indexed="64"/>
      </patternFill>
    </fill>
    <fill>
      <patternFill patternType="solid">
        <fgColor theme="5" tint="0.599993896298105"/>
        <bgColor indexed="64"/>
      </patternFill>
    </fill>
    <fill>
      <patternFill patternType="solid">
        <fgColor theme="9" tint="0.599993896298105"/>
        <bgColor indexed="64"/>
      </patternFill>
    </fill>
    <fill>
      <patternFill patternType="solid">
        <fgColor theme="5"/>
        <bgColor indexed="64"/>
      </patternFill>
    </fill>
    <fill>
      <patternFill patternType="solid">
        <fgColor theme="4" tint="0.399975585192419"/>
        <bgColor indexed="64"/>
      </patternFill>
    </fill>
    <fill>
      <patternFill patternType="solid">
        <fgColor theme="7"/>
        <bgColor indexed="64"/>
      </patternFill>
    </fill>
    <fill>
      <patternFill patternType="solid">
        <fgColor theme="6"/>
        <bgColor indexed="64"/>
      </patternFill>
    </fill>
    <fill>
      <patternFill patternType="solid">
        <fgColor rgb="FFFFCC99"/>
        <bgColor indexed="64"/>
      </patternFill>
    </fill>
    <fill>
      <patternFill patternType="solid">
        <fgColor theme="6" tint="0.599993896298105"/>
        <bgColor indexed="64"/>
      </patternFill>
    </fill>
    <fill>
      <patternFill patternType="solid">
        <fgColor theme="4" tint="0.599993896298105"/>
        <bgColor indexed="64"/>
      </patternFill>
    </fill>
    <fill>
      <patternFill patternType="solid">
        <fgColor rgb="FFFFC7CE"/>
        <bgColor indexed="64"/>
      </patternFill>
    </fill>
    <fill>
      <patternFill patternType="solid">
        <fgColor theme="7" tint="0.799981688894314"/>
        <bgColor indexed="64"/>
      </patternFill>
    </fill>
    <fill>
      <patternFill patternType="solid">
        <fgColor theme="6" tint="0.399975585192419"/>
        <bgColor indexed="64"/>
      </patternFill>
    </fill>
    <fill>
      <patternFill patternType="solid">
        <fgColor theme="4" tint="0.799981688894314"/>
        <bgColor indexed="64"/>
      </patternFill>
    </fill>
    <fill>
      <patternFill patternType="solid">
        <fgColor theme="4"/>
        <bgColor indexed="64"/>
      </patternFill>
    </fill>
    <fill>
      <patternFill patternType="solid">
        <fgColor theme="9" tint="0.799981688894314"/>
        <bgColor indexed="64"/>
      </patternFill>
    </fill>
    <fill>
      <patternFill patternType="solid">
        <fgColor theme="7" tint="0.399975585192419"/>
        <bgColor indexed="64"/>
      </patternFill>
    </fill>
    <fill>
      <patternFill patternType="solid">
        <fgColor theme="8" tint="0.399975585192419"/>
        <bgColor indexed="64"/>
      </patternFill>
    </fill>
  </fills>
  <borders count="44">
    <border>
      <left/>
      <right/>
      <top/>
      <bottom/>
      <diagonal/>
    </border>
    <border>
      <left style="thin">
        <color theme="0"/>
      </left>
      <right/>
      <top/>
      <bottom style="thick">
        <color theme="0"/>
      </bottom>
      <diagonal/>
    </border>
    <border>
      <left/>
      <right/>
      <top/>
      <bottom style="thick">
        <color theme="0"/>
      </bottom>
      <diagonal/>
    </border>
    <border>
      <left/>
      <right style="thin">
        <color theme="0"/>
      </right>
      <top/>
      <bottom style="thick">
        <color theme="0"/>
      </bottom>
      <diagonal/>
    </border>
    <border>
      <left style="thin">
        <color theme="0"/>
      </left>
      <right style="thin">
        <color auto="1"/>
      </right>
      <top style="thin">
        <color theme="0"/>
      </top>
      <bottom style="thin">
        <color theme="0"/>
      </bottom>
      <diagonal/>
    </border>
    <border>
      <left style="thin">
        <color auto="1"/>
      </left>
      <right style="thin">
        <color auto="1"/>
      </right>
      <top style="thin">
        <color theme="0"/>
      </top>
      <bottom style="thin">
        <color theme="0"/>
      </bottom>
      <diagonal/>
    </border>
    <border>
      <left style="thin">
        <color auto="1"/>
      </left>
      <right style="thin">
        <color theme="0"/>
      </right>
      <top style="thin">
        <color theme="0"/>
      </top>
      <bottom style="thin">
        <color theme="0"/>
      </bottom>
      <diagonal/>
    </border>
    <border>
      <left style="thin">
        <color theme="0"/>
      </left>
      <right/>
      <top style="thin">
        <color theme="0"/>
      </top>
      <bottom style="thin">
        <color theme="0"/>
      </bottom>
      <diagonal/>
    </border>
    <border>
      <left style="thin">
        <color theme="0"/>
      </left>
      <right style="thin">
        <color theme="0"/>
      </right>
      <top style="thin">
        <color theme="0"/>
      </top>
      <bottom style="thin">
        <color theme="0"/>
      </bottom>
      <diagonal/>
    </border>
    <border>
      <left style="medium">
        <color auto="1"/>
      </left>
      <right/>
      <top style="medium">
        <color auto="1"/>
      </top>
      <bottom style="thick">
        <color theme="4"/>
      </bottom>
      <diagonal/>
    </border>
    <border>
      <left/>
      <right/>
      <top style="medium">
        <color auto="1"/>
      </top>
      <bottom style="thick">
        <color theme="4"/>
      </bottom>
      <diagonal/>
    </border>
    <border>
      <left/>
      <right style="medium">
        <color auto="1"/>
      </right>
      <top style="medium">
        <color auto="1"/>
      </top>
      <bottom style="thick">
        <color theme="4"/>
      </bottom>
      <diagonal/>
    </border>
    <border>
      <left style="medium">
        <color auto="1"/>
      </left>
      <right/>
      <top/>
      <bottom style="thick">
        <color theme="4"/>
      </bottom>
      <diagonal/>
    </border>
    <border>
      <left/>
      <right/>
      <top/>
      <bottom style="thick">
        <color theme="4"/>
      </bottom>
      <diagonal/>
    </border>
    <border>
      <left/>
      <right/>
      <top style="thick">
        <color theme="4"/>
      </top>
      <bottom style="thick">
        <color theme="4"/>
      </bottom>
      <diagonal/>
    </border>
    <border>
      <left/>
      <right style="medium">
        <color auto="1"/>
      </right>
      <top style="thick">
        <color theme="4"/>
      </top>
      <bottom style="thick">
        <color theme="4"/>
      </bottom>
      <diagonal/>
    </border>
    <border>
      <left style="medium">
        <color auto="1"/>
      </left>
      <right/>
      <top/>
      <bottom/>
      <diagonal/>
    </border>
    <border>
      <left/>
      <right style="medium">
        <color auto="1"/>
      </right>
      <top/>
      <bottom/>
      <diagonal/>
    </border>
    <border>
      <left/>
      <right style="medium">
        <color auto="1"/>
      </right>
      <top/>
      <bottom style="thick">
        <color theme="4"/>
      </bottom>
      <diagonal/>
    </border>
    <border>
      <left style="medium">
        <color auto="1"/>
      </left>
      <right/>
      <top style="thick">
        <color theme="4"/>
      </top>
      <bottom/>
      <diagonal/>
    </border>
    <border>
      <left/>
      <right/>
      <top style="thick">
        <color theme="4"/>
      </top>
      <bottom/>
      <diagonal/>
    </border>
    <border>
      <left style="medium">
        <color auto="1"/>
      </left>
      <right/>
      <top style="thick">
        <color theme="4"/>
      </top>
      <bottom style="thick">
        <color theme="4"/>
      </bottom>
      <diagonal/>
    </border>
    <border>
      <left style="medium">
        <color auto="1"/>
      </left>
      <right style="medium">
        <color auto="1"/>
      </right>
      <top style="medium">
        <color auto="1"/>
      </top>
      <bottom style="medium">
        <color auto="1"/>
      </bottom>
      <diagonal/>
    </border>
    <border>
      <left style="thin">
        <color rgb="FFFFFFFF"/>
      </left>
      <right/>
      <top/>
      <bottom style="thick">
        <color rgb="FFFFFFFF"/>
      </bottom>
      <diagonal/>
    </border>
    <border>
      <left/>
      <right/>
      <top/>
      <bottom style="thick">
        <color rgb="FFFFFFFF"/>
      </bottom>
      <diagonal/>
    </border>
    <border>
      <left style="thin">
        <color rgb="FFFFFFFF"/>
      </left>
      <right style="thin">
        <color rgb="FFFFFFFF"/>
      </right>
      <top style="thick">
        <color rgb="FFFFFFFF"/>
      </top>
      <bottom style="thin">
        <color rgb="FFFFFFFF"/>
      </bottom>
      <diagonal/>
    </border>
    <border>
      <left style="thin">
        <color rgb="FFFFFFFF"/>
      </left>
      <right style="thin">
        <color rgb="FFFFFFFF"/>
      </right>
      <top style="thin">
        <color rgb="FFFFFFFF"/>
      </top>
      <bottom style="thick">
        <color rgb="FFFFFFFF"/>
      </bottom>
      <diagonal/>
    </border>
    <border>
      <left style="thin">
        <color rgb="FFFFFFFF"/>
      </left>
      <right style="thin">
        <color rgb="FFFFFFFF"/>
      </right>
      <top/>
      <bottom style="thick">
        <color rgb="FFFFFFFF"/>
      </bottom>
      <diagonal/>
    </border>
    <border>
      <left/>
      <right/>
      <top style="thick">
        <color rgb="FFFFFFFF"/>
      </top>
      <bottom style="thin">
        <color rgb="FFFFFFFF"/>
      </bottom>
      <diagonal/>
    </border>
    <border>
      <left/>
      <right/>
      <top/>
      <bottom style="thin">
        <color rgb="FFFFFFFF"/>
      </bottom>
      <diagonal/>
    </border>
    <border>
      <left/>
      <right style="thin">
        <color rgb="FFFFFFFF"/>
      </right>
      <top style="thick">
        <color rgb="FFFFFFFF"/>
      </top>
      <bottom style="thin">
        <color rgb="FFFFFFFF"/>
      </bottom>
      <diagonal/>
    </border>
    <border>
      <left/>
      <right style="thin">
        <color rgb="FFFFFFFF"/>
      </right>
      <top style="thin">
        <color rgb="FFFFFFFF"/>
      </top>
      <bottom style="thin">
        <color rgb="FFFFFFFF"/>
      </bottom>
      <diagonal/>
    </border>
    <border>
      <left style="thin">
        <color rgb="FFFFFFFF"/>
      </left>
      <right style="thin">
        <color rgb="FFFFFFFF"/>
      </right>
      <top style="thin">
        <color rgb="FFFFFFFF"/>
      </top>
      <bottom style="thin">
        <color rgb="FFFFFFFF"/>
      </bottom>
      <diagonal/>
    </border>
    <border>
      <left/>
      <right style="thin">
        <color rgb="FFFFFFFF"/>
      </right>
      <top/>
      <bottom style="thick">
        <color rgb="FFFFFFFF"/>
      </bottom>
      <diagonal/>
    </border>
    <border>
      <left style="thin">
        <color rgb="FFFFFFFF"/>
      </left>
      <right/>
      <top style="thin">
        <color rgb="FFFFFFFF"/>
      </top>
      <bottom style="thin">
        <color rgb="FFFFFFFF"/>
      </bottom>
      <diagonal/>
    </border>
    <border>
      <left style="thin">
        <color auto="1"/>
      </left>
      <right style="thin">
        <color auto="1"/>
      </right>
      <top style="thin">
        <color auto="1"/>
      </top>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right/>
      <top/>
      <bottom style="medium">
        <color theme="4"/>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bottom style="medium">
        <color theme="4" tint="0.499984740745262"/>
      </bottom>
      <diagonal/>
    </border>
  </borders>
  <cellStyleXfs count="49">
    <xf numFmtId="0" fontId="0" fillId="0" borderId="0"/>
    <xf numFmtId="179" fontId="45" fillId="0" borderId="0" applyBorder="0" applyAlignment="0" applyProtection="0"/>
    <xf numFmtId="181" fontId="45" fillId="0" borderId="0" applyBorder="0" applyAlignment="0" applyProtection="0"/>
    <xf numFmtId="0" fontId="46" fillId="28" borderId="0" applyNumberFormat="0" applyBorder="0" applyAlignment="0" applyProtection="0">
      <alignment vertical="center"/>
    </xf>
    <xf numFmtId="9" fontId="0" fillId="0" borderId="0" applyBorder="0" applyProtection="0"/>
    <xf numFmtId="0" fontId="54" fillId="0" borderId="39" applyNumberFormat="0" applyFill="0" applyAlignment="0" applyProtection="0">
      <alignment vertical="center"/>
    </xf>
    <xf numFmtId="0" fontId="55" fillId="29" borderId="40" applyNumberFormat="0" applyAlignment="0" applyProtection="0">
      <alignment vertical="center"/>
    </xf>
    <xf numFmtId="180" fontId="45" fillId="0" borderId="0" applyBorder="0" applyAlignment="0" applyProtection="0"/>
    <xf numFmtId="0" fontId="46" fillId="33" borderId="0" applyNumberFormat="0" applyBorder="0" applyAlignment="0" applyProtection="0">
      <alignment vertical="center"/>
    </xf>
    <xf numFmtId="178" fontId="0" fillId="0" borderId="0" applyBorder="0" applyProtection="0"/>
    <xf numFmtId="0" fontId="53" fillId="0" borderId="0" applyNumberFormat="0" applyFill="0" applyBorder="0" applyAlignment="0" applyProtection="0">
      <alignment vertical="center"/>
    </xf>
    <xf numFmtId="0" fontId="57" fillId="0" borderId="0" applyNumberFormat="0" applyFill="0" applyBorder="0" applyAlignment="0" applyProtection="0">
      <alignment vertical="center"/>
    </xf>
    <xf numFmtId="0" fontId="46" fillId="36" borderId="0" applyNumberFormat="0" applyBorder="0" applyAlignment="0" applyProtection="0">
      <alignment vertical="center"/>
    </xf>
    <xf numFmtId="0" fontId="56" fillId="34" borderId="41" applyNumberFormat="0" applyFont="0" applyAlignment="0" applyProtection="0">
      <alignment vertical="center"/>
    </xf>
    <xf numFmtId="0" fontId="46" fillId="37" borderId="0" applyNumberFormat="0" applyBorder="0" applyAlignment="0" applyProtection="0">
      <alignment vertical="center"/>
    </xf>
    <xf numFmtId="0" fontId="47" fillId="0" borderId="0" applyNumberFormat="0" applyFill="0" applyBorder="0" applyAlignment="0" applyProtection="0">
      <alignment vertical="center"/>
    </xf>
    <xf numFmtId="0" fontId="50" fillId="0" borderId="0" applyNumberFormat="0" applyFill="0" applyBorder="0" applyAlignment="0" applyProtection="0">
      <alignment vertical="center"/>
    </xf>
    <xf numFmtId="0" fontId="49" fillId="0" borderId="0" applyNumberFormat="0" applyFill="0" applyBorder="0" applyAlignment="0" applyProtection="0">
      <alignment vertical="center"/>
    </xf>
    <xf numFmtId="0" fontId="51" fillId="41" borderId="0" applyNumberFormat="0" applyBorder="0" applyAlignment="0" applyProtection="0">
      <alignment vertical="center"/>
    </xf>
    <xf numFmtId="0" fontId="59" fillId="0" borderId="38" applyNumberFormat="0" applyFill="0" applyAlignment="0" applyProtection="0">
      <alignment vertical="center"/>
    </xf>
    <xf numFmtId="0" fontId="51" fillId="40" borderId="0" applyNumberFormat="0" applyBorder="0" applyAlignment="0" applyProtection="0">
      <alignment vertical="center"/>
    </xf>
    <xf numFmtId="0" fontId="52" fillId="0" borderId="38" applyNumberFormat="0" applyFill="0" applyAlignment="0" applyProtection="0">
      <alignment vertical="center"/>
    </xf>
    <xf numFmtId="0" fontId="51" fillId="27" borderId="0" applyNumberFormat="0" applyBorder="0" applyAlignment="0" applyProtection="0">
      <alignment vertical="center"/>
    </xf>
    <xf numFmtId="0" fontId="43" fillId="0" borderId="43" applyNumberFormat="0" applyFill="0" applyAlignment="0" applyProtection="0">
      <alignment vertical="center"/>
    </xf>
    <xf numFmtId="0" fontId="51" fillId="10" borderId="0" applyNumberFormat="0" applyBorder="0" applyAlignment="0" applyProtection="0">
      <alignment vertical="center"/>
    </xf>
    <xf numFmtId="0" fontId="43" fillId="0" borderId="0" applyNumberFormat="0" applyFill="0" applyBorder="0" applyAlignment="0" applyProtection="0">
      <alignment vertical="center"/>
    </xf>
    <xf numFmtId="0" fontId="61" fillId="42" borderId="36" applyNumberFormat="0" applyAlignment="0" applyProtection="0">
      <alignment vertical="center"/>
    </xf>
    <xf numFmtId="0" fontId="60" fillId="24" borderId="42" applyNumberFormat="0" applyAlignment="0" applyProtection="0">
      <alignment vertical="center"/>
    </xf>
    <xf numFmtId="0" fontId="42" fillId="24" borderId="36" applyNumberFormat="0" applyAlignment="0" applyProtection="0">
      <alignment vertical="center"/>
    </xf>
    <xf numFmtId="0" fontId="48" fillId="0" borderId="37" applyNumberFormat="0" applyFill="0" applyAlignment="0" applyProtection="0">
      <alignment vertical="center"/>
    </xf>
    <xf numFmtId="0" fontId="46" fillId="44" borderId="0" applyNumberFormat="0" applyBorder="0" applyAlignment="0" applyProtection="0">
      <alignment vertical="center"/>
    </xf>
    <xf numFmtId="0" fontId="44" fillId="25" borderId="0" applyNumberFormat="0" applyBorder="0" applyAlignment="0" applyProtection="0">
      <alignment vertical="center"/>
    </xf>
    <xf numFmtId="0" fontId="62" fillId="45" borderId="0" applyNumberFormat="0" applyBorder="0" applyAlignment="0" applyProtection="0">
      <alignment vertical="center"/>
    </xf>
    <xf numFmtId="0" fontId="58" fillId="35" borderId="0" applyNumberFormat="0" applyBorder="0" applyAlignment="0" applyProtection="0">
      <alignment vertical="center"/>
    </xf>
    <xf numFmtId="0" fontId="46" fillId="32" borderId="0" applyNumberFormat="0" applyBorder="0" applyAlignment="0" applyProtection="0">
      <alignment vertical="center"/>
    </xf>
    <xf numFmtId="0" fontId="51" fillId="49" borderId="0" applyNumberFormat="0" applyBorder="0" applyAlignment="0" applyProtection="0">
      <alignment vertical="center"/>
    </xf>
    <xf numFmtId="0" fontId="46" fillId="48" borderId="0" applyNumberFormat="0" applyBorder="0" applyAlignment="0" applyProtection="0">
      <alignment vertical="center"/>
    </xf>
    <xf numFmtId="0" fontId="51" fillId="39" borderId="0" applyNumberFormat="0" applyBorder="0" applyAlignment="0" applyProtection="0">
      <alignment vertical="center"/>
    </xf>
    <xf numFmtId="0" fontId="46" fillId="50" borderId="0" applyNumberFormat="0" applyBorder="0" applyAlignment="0" applyProtection="0">
      <alignment vertical="center"/>
    </xf>
    <xf numFmtId="0" fontId="51" fillId="38" borderId="0" applyNumberFormat="0" applyBorder="0" applyAlignment="0" applyProtection="0">
      <alignment vertical="center"/>
    </xf>
    <xf numFmtId="0" fontId="46" fillId="31" borderId="0" applyNumberFormat="0" applyBorder="0" applyAlignment="0" applyProtection="0">
      <alignment vertical="center"/>
    </xf>
    <xf numFmtId="0" fontId="51" fillId="8" borderId="0" applyNumberFormat="0" applyBorder="0" applyAlignment="0" applyProtection="0">
      <alignment vertical="center"/>
    </xf>
    <xf numFmtId="0" fontId="46" fillId="43" borderId="0" applyNumberFormat="0" applyBorder="0" applyAlignment="0" applyProtection="0">
      <alignment vertical="center"/>
    </xf>
    <xf numFmtId="0" fontId="51" fillId="47" borderId="0" applyNumberFormat="0" applyBorder="0" applyAlignment="0" applyProtection="0">
      <alignment vertical="center"/>
    </xf>
    <xf numFmtId="0" fontId="46" fillId="46" borderId="0" applyNumberFormat="0" applyBorder="0" applyAlignment="0" applyProtection="0">
      <alignment vertical="center"/>
    </xf>
    <xf numFmtId="0" fontId="51" fillId="51" borderId="0" applyNumberFormat="0" applyBorder="0" applyAlignment="0" applyProtection="0">
      <alignment vertical="center"/>
    </xf>
    <xf numFmtId="0" fontId="46" fillId="26" borderId="0" applyNumberFormat="0" applyBorder="0" applyAlignment="0" applyProtection="0">
      <alignment vertical="center"/>
    </xf>
    <xf numFmtId="0" fontId="51" fillId="52" borderId="0" applyNumberFormat="0" applyBorder="0" applyAlignment="0" applyProtection="0">
      <alignment vertical="center"/>
    </xf>
    <xf numFmtId="0" fontId="51" fillId="30" borderId="0" applyNumberFormat="0" applyBorder="0" applyAlignment="0" applyProtection="0">
      <alignment vertical="center"/>
    </xf>
  </cellStyleXfs>
  <cellXfs count="315">
    <xf numFmtId="0" fontId="0" fillId="0" borderId="0" xfId="0"/>
    <xf numFmtId="0" fontId="1" fillId="2" borderId="1" xfId="0" applyFont="1" applyFill="1" applyBorder="1" applyAlignment="1">
      <alignment horizontal="center" vertical="center" wrapText="1"/>
    </xf>
    <xf numFmtId="0" fontId="1" fillId="2" borderId="2" xfId="0" applyFont="1" applyFill="1" applyBorder="1" applyAlignment="1">
      <alignment horizontal="center" vertical="center" wrapText="1"/>
    </xf>
    <xf numFmtId="0" fontId="1" fillId="2" borderId="3" xfId="0" applyFont="1" applyFill="1" applyBorder="1" applyAlignment="1">
      <alignment horizontal="center" vertical="center" wrapText="1"/>
    </xf>
    <xf numFmtId="0" fontId="2" fillId="0" borderId="0" xfId="0" applyFont="1" applyFill="1" applyAlignment="1">
      <alignment horizontal="center" vertical="center" wrapText="1"/>
    </xf>
    <xf numFmtId="0" fontId="2" fillId="0" borderId="0" xfId="0" applyFont="1" applyFill="1" applyAlignment="1">
      <alignment horizontal="center" vertical="center"/>
    </xf>
    <xf numFmtId="0" fontId="2" fillId="0" borderId="0" xfId="0" applyFont="1" applyFill="1" applyAlignment="1">
      <alignment horizontal="justify" wrapText="1"/>
    </xf>
    <xf numFmtId="176" fontId="2" fillId="0" borderId="0" xfId="0" applyNumberFormat="1" applyFont="1" applyFill="1" applyAlignment="1">
      <alignment horizontal="center" vertical="center"/>
    </xf>
    <xf numFmtId="0" fontId="2" fillId="0" borderId="0" xfId="0" applyFont="1" applyFill="1" applyAlignment="1"/>
    <xf numFmtId="176" fontId="2" fillId="0" borderId="0" xfId="0" applyNumberFormat="1" applyFont="1" applyFill="1" applyAlignment="1"/>
    <xf numFmtId="0" fontId="2" fillId="0" borderId="0" xfId="0" applyFont="1" applyFill="1" applyAlignment="1">
      <alignment horizontal="left"/>
    </xf>
    <xf numFmtId="0" fontId="3" fillId="3" borderId="0" xfId="0" applyFont="1" applyFill="1" applyAlignment="1">
      <alignment horizontal="center"/>
    </xf>
    <xf numFmtId="0" fontId="4" fillId="4" borderId="0" xfId="0" applyFont="1" applyFill="1" applyAlignment="1">
      <alignment horizontal="center" vertical="center" wrapText="1"/>
    </xf>
    <xf numFmtId="0" fontId="5" fillId="0" borderId="0" xfId="0" applyFont="1" applyAlignment="1">
      <alignment horizontal="center" vertical="center" wrapText="1"/>
    </xf>
    <xf numFmtId="0" fontId="3" fillId="0" borderId="0" xfId="0" applyFont="1" applyAlignment="1">
      <alignment horizontal="center" wrapText="1"/>
    </xf>
    <xf numFmtId="0" fontId="6" fillId="0" borderId="0" xfId="0" applyFont="1" applyAlignment="1">
      <alignment horizontal="justify" wrapText="1"/>
    </xf>
    <xf numFmtId="0" fontId="6" fillId="0" borderId="0" xfId="0" applyFont="1" applyAlignment="1">
      <alignment horizontal="center" vertical="center" wrapText="1"/>
    </xf>
    <xf numFmtId="177" fontId="0" fillId="0" borderId="0" xfId="0" applyNumberFormat="1" applyAlignment="1">
      <alignment horizontal="center" vertical="center"/>
    </xf>
    <xf numFmtId="0" fontId="7" fillId="3" borderId="0" xfId="0" applyFont="1" applyFill="1" applyAlignment="1">
      <alignment horizontal="center"/>
    </xf>
    <xf numFmtId="177" fontId="7" fillId="3" borderId="0" xfId="0" applyNumberFormat="1" applyFont="1" applyFill="1" applyAlignment="1">
      <alignment horizontal="center"/>
    </xf>
    <xf numFmtId="0" fontId="7" fillId="3" borderId="0" xfId="0" applyFont="1" applyFill="1" applyAlignment="1">
      <alignment horizontal="center" vertical="center"/>
    </xf>
    <xf numFmtId="177" fontId="7" fillId="3" borderId="0" xfId="0" applyNumberFormat="1" applyFont="1" applyFill="1" applyAlignment="1">
      <alignment horizontal="center" vertical="center"/>
    </xf>
    <xf numFmtId="0" fontId="1" fillId="0" borderId="0" xfId="0" applyFont="1" applyFill="1" applyAlignment="1">
      <alignment horizontal="center"/>
    </xf>
    <xf numFmtId="0" fontId="8" fillId="0" borderId="0" xfId="0" applyFont="1" applyFill="1" applyAlignment="1">
      <alignment horizontal="center"/>
    </xf>
    <xf numFmtId="0" fontId="9" fillId="0" borderId="0" xfId="0" applyFont="1" applyFill="1" applyAlignment="1">
      <alignment horizontal="center" vertical="center" wrapText="1"/>
    </xf>
    <xf numFmtId="0" fontId="9" fillId="0" borderId="0" xfId="0" applyFont="1" applyFill="1" applyAlignment="1">
      <alignment horizontal="justify" vertical="center" wrapText="1"/>
    </xf>
    <xf numFmtId="182" fontId="9" fillId="5" borderId="0" xfId="0" applyNumberFormat="1" applyFont="1" applyFill="1" applyAlignment="1">
      <alignment horizontal="center" vertical="center" wrapText="1"/>
    </xf>
    <xf numFmtId="0" fontId="9" fillId="6" borderId="0" xfId="0" applyFont="1" applyFill="1" applyAlignment="1">
      <alignment horizontal="center" vertical="center" wrapText="1"/>
    </xf>
    <xf numFmtId="182" fontId="9" fillId="0" borderId="0" xfId="0" applyNumberFormat="1" applyFont="1" applyFill="1" applyAlignment="1">
      <alignment horizontal="center" vertical="center" wrapText="1"/>
    </xf>
    <xf numFmtId="182" fontId="9" fillId="6" borderId="0" xfId="0" applyNumberFormat="1" applyFont="1" applyFill="1" applyAlignment="1">
      <alignment horizontal="center" vertical="center" wrapText="1"/>
    </xf>
    <xf numFmtId="0" fontId="10" fillId="0" borderId="0" xfId="0" applyFont="1" applyFill="1" applyAlignment="1">
      <alignment horizontal="center" vertical="center"/>
    </xf>
    <xf numFmtId="0" fontId="9" fillId="0" borderId="0" xfId="0" applyFont="1" applyFill="1" applyAlignment="1">
      <alignment horizontal="center" vertical="center"/>
    </xf>
    <xf numFmtId="182" fontId="2" fillId="0" borderId="0" xfId="0" applyNumberFormat="1" applyFont="1" applyFill="1" applyAlignment="1">
      <alignment horizontal="center" vertical="center"/>
    </xf>
    <xf numFmtId="0" fontId="11" fillId="0" borderId="0" xfId="0" applyFont="1"/>
    <xf numFmtId="0" fontId="12" fillId="7" borderId="0" xfId="0" applyFont="1" applyFill="1" applyAlignment="1">
      <alignment horizontal="center" vertical="center"/>
    </xf>
    <xf numFmtId="0" fontId="13" fillId="4" borderId="0" xfId="0" applyFont="1" applyFill="1" applyAlignment="1">
      <alignment horizontal="center" vertical="center" wrapText="1"/>
    </xf>
    <xf numFmtId="0" fontId="14" fillId="4" borderId="0" xfId="0" applyFont="1" applyFill="1" applyAlignment="1">
      <alignment horizontal="center" vertical="center" wrapText="1"/>
    </xf>
    <xf numFmtId="0" fontId="15" fillId="0" borderId="0" xfId="0" applyFont="1" applyAlignment="1">
      <alignment horizontal="center" vertical="center" wrapText="1"/>
    </xf>
    <xf numFmtId="0" fontId="15" fillId="0" borderId="0" xfId="0" applyFont="1" applyAlignment="1">
      <alignment horizontal="justify" vertical="center" wrapText="1"/>
    </xf>
    <xf numFmtId="0" fontId="16" fillId="0" borderId="0" xfId="0" applyFont="1" applyAlignment="1">
      <alignment horizontal="center" vertical="center" wrapText="1"/>
    </xf>
    <xf numFmtId="177" fontId="17" fillId="8" borderId="0" xfId="0" applyNumberFormat="1" applyFont="1" applyFill="1" applyAlignment="1">
      <alignment horizontal="center" vertical="center"/>
    </xf>
    <xf numFmtId="177" fontId="17" fillId="0" borderId="0" xfId="0" applyNumberFormat="1" applyFont="1" applyAlignment="1">
      <alignment horizontal="center" vertical="center"/>
    </xf>
    <xf numFmtId="0" fontId="15" fillId="0" borderId="0" xfId="0" applyFont="1" applyAlignment="1">
      <alignment horizontal="justify" vertical="center"/>
    </xf>
    <xf numFmtId="0" fontId="12" fillId="7" borderId="0" xfId="0" applyFont="1" applyFill="1" applyAlignment="1">
      <alignment horizontal="center"/>
    </xf>
    <xf numFmtId="177" fontId="12" fillId="7" borderId="0" xfId="0" applyNumberFormat="1" applyFont="1" applyFill="1" applyAlignment="1">
      <alignment horizontal="center"/>
    </xf>
    <xf numFmtId="0" fontId="17" fillId="0" borderId="0" xfId="0" applyFont="1"/>
    <xf numFmtId="0" fontId="18" fillId="0" borderId="0" xfId="0" applyFont="1"/>
    <xf numFmtId="0" fontId="19" fillId="7" borderId="0" xfId="0" applyFont="1" applyFill="1" applyAlignment="1">
      <alignment horizontal="center"/>
    </xf>
    <xf numFmtId="0" fontId="14" fillId="7" borderId="0" xfId="0" applyFont="1" applyFill="1" applyAlignment="1">
      <alignment horizontal="center"/>
    </xf>
    <xf numFmtId="0" fontId="16" fillId="9" borderId="0" xfId="0" applyFont="1" applyFill="1" applyAlignment="1">
      <alignment horizontal="center" vertical="center"/>
    </xf>
    <xf numFmtId="0" fontId="16" fillId="9" borderId="0" xfId="0" applyFont="1" applyFill="1" applyAlignment="1">
      <alignment horizontal="center" vertical="center" wrapText="1"/>
    </xf>
    <xf numFmtId="0" fontId="17" fillId="0" borderId="0" xfId="0" applyFont="1" applyAlignment="1">
      <alignment horizontal="justify" vertical="center"/>
    </xf>
    <xf numFmtId="0" fontId="20" fillId="0" borderId="0" xfId="0" applyFont="1" applyFill="1" applyAlignment="1">
      <alignment horizontal="center"/>
    </xf>
    <xf numFmtId="0" fontId="20" fillId="0" borderId="0" xfId="0" applyFont="1" applyFill="1" applyAlignment="1">
      <alignment wrapText="1"/>
    </xf>
    <xf numFmtId="0" fontId="20" fillId="0" borderId="0" xfId="0" applyFont="1" applyFill="1" applyAlignment="1">
      <alignment horizontal="center" vertical="center"/>
    </xf>
    <xf numFmtId="182" fontId="20" fillId="0" borderId="0" xfId="0" applyNumberFormat="1" applyFont="1" applyFill="1" applyAlignment="1">
      <alignment horizontal="center" vertical="center"/>
    </xf>
    <xf numFmtId="0" fontId="21" fillId="10" borderId="4" xfId="0" applyFont="1" applyFill="1" applyBorder="1" applyAlignment="1">
      <alignment horizontal="center"/>
    </xf>
    <xf numFmtId="0" fontId="21" fillId="10" borderId="5" xfId="0" applyFont="1" applyFill="1" applyBorder="1" applyAlignment="1">
      <alignment horizontal="center"/>
    </xf>
    <xf numFmtId="0" fontId="22" fillId="10" borderId="5" xfId="0" applyFont="1" applyFill="1" applyBorder="1" applyAlignment="1">
      <alignment horizontal="center"/>
    </xf>
    <xf numFmtId="0" fontId="21" fillId="10" borderId="6" xfId="0" applyFont="1" applyFill="1" applyBorder="1" applyAlignment="1">
      <alignment horizontal="center"/>
    </xf>
    <xf numFmtId="182" fontId="21" fillId="10" borderId="7" xfId="0" applyNumberFormat="1" applyFont="1" applyFill="1" applyBorder="1" applyAlignment="1">
      <alignment horizontal="center"/>
    </xf>
    <xf numFmtId="0" fontId="21" fillId="10" borderId="8" xfId="0" applyFont="1" applyFill="1" applyBorder="1" applyAlignment="1">
      <alignment horizontal="center"/>
    </xf>
    <xf numFmtId="0" fontId="22" fillId="10" borderId="8" xfId="0" applyFont="1" applyFill="1" applyBorder="1" applyAlignment="1">
      <alignment horizontal="center"/>
    </xf>
    <xf numFmtId="182" fontId="21" fillId="10" borderId="8" xfId="0" applyNumberFormat="1" applyFont="1" applyFill="1" applyBorder="1" applyAlignment="1">
      <alignment horizontal="center"/>
    </xf>
    <xf numFmtId="0" fontId="21" fillId="10" borderId="8" xfId="0" applyNumberFormat="1" applyFont="1" applyFill="1" applyBorder="1" applyAlignment="1">
      <alignment horizontal="center"/>
    </xf>
    <xf numFmtId="0" fontId="20" fillId="0" borderId="0" xfId="0" applyFont="1" applyFill="1" applyAlignment="1"/>
    <xf numFmtId="0" fontId="18" fillId="0" borderId="0" xfId="0" applyFont="1" applyFill="1" applyAlignment="1"/>
    <xf numFmtId="0" fontId="23" fillId="0" borderId="0" xfId="0" applyFont="1" applyFill="1" applyAlignment="1">
      <alignment horizontal="justify" wrapText="1"/>
    </xf>
    <xf numFmtId="0" fontId="20" fillId="0" borderId="0" xfId="0" applyFont="1" applyFill="1" applyAlignment="1">
      <alignment horizontal="justify" wrapText="1"/>
    </xf>
    <xf numFmtId="0" fontId="18" fillId="0" borderId="0" xfId="0" applyFont="1" applyFill="1" applyAlignment="1">
      <alignment horizontal="justify" wrapText="1"/>
    </xf>
    <xf numFmtId="0" fontId="0" fillId="0" borderId="0" xfId="0" applyAlignment="1">
      <alignment horizontal="center" vertical="center" wrapText="1"/>
    </xf>
    <xf numFmtId="0" fontId="0" fillId="0" borderId="0" xfId="0" applyAlignment="1">
      <alignment horizontal="center" vertical="center"/>
    </xf>
    <xf numFmtId="0" fontId="24" fillId="10" borderId="0" xfId="0" applyFont="1" applyFill="1" applyBorder="1" applyAlignment="1">
      <alignment horizontal="center"/>
    </xf>
    <xf numFmtId="0" fontId="24" fillId="10" borderId="0" xfId="0" applyFont="1" applyFill="1" applyBorder="1" applyAlignment="1">
      <alignment horizontal="center" vertical="center" wrapText="1"/>
    </xf>
    <xf numFmtId="0" fontId="24" fillId="10" borderId="0" xfId="0" applyFont="1" applyFill="1" applyBorder="1" applyAlignment="1">
      <alignment horizontal="center" vertical="center"/>
    </xf>
    <xf numFmtId="0" fontId="25" fillId="11" borderId="0" xfId="0" applyFont="1" applyFill="1" applyAlignment="1">
      <alignment horizontal="center"/>
    </xf>
    <xf numFmtId="0" fontId="25" fillId="11" borderId="0" xfId="0" applyFont="1" applyFill="1" applyAlignment="1">
      <alignment horizontal="center" vertical="center" wrapText="1"/>
    </xf>
    <xf numFmtId="0" fontId="25" fillId="11" borderId="0" xfId="0" applyFont="1" applyFill="1" applyAlignment="1">
      <alignment horizontal="center" vertical="center"/>
    </xf>
    <xf numFmtId="0" fontId="26" fillId="12" borderId="0" xfId="0" applyFont="1" applyFill="1" applyAlignment="1">
      <alignment horizontal="center" vertical="center" wrapText="1"/>
    </xf>
    <xf numFmtId="0" fontId="11" fillId="0" borderId="0" xfId="0" applyFont="1" applyAlignment="1">
      <alignment horizontal="center" vertical="center" wrapText="1"/>
    </xf>
    <xf numFmtId="0" fontId="27" fillId="0" borderId="0" xfId="0" applyFont="1" applyAlignment="1">
      <alignment horizontal="justify" wrapText="1"/>
    </xf>
    <xf numFmtId="177" fontId="11" fillId="13" borderId="0" xfId="0" applyNumberFormat="1" applyFont="1" applyFill="1" applyAlignment="1">
      <alignment horizontal="center" vertical="center" wrapText="1"/>
    </xf>
    <xf numFmtId="177" fontId="11" fillId="0" borderId="0" xfId="0" applyNumberFormat="1" applyFont="1" applyAlignment="1">
      <alignment horizontal="center" vertical="center" wrapText="1"/>
    </xf>
    <xf numFmtId="0" fontId="27" fillId="0" borderId="0" xfId="0" applyFont="1" applyAlignment="1">
      <alignment horizontal="justify" vertical="center" wrapText="1"/>
    </xf>
    <xf numFmtId="0" fontId="27" fillId="0" borderId="0" xfId="0" applyFont="1" applyAlignment="1">
      <alignment horizontal="center" vertical="center" wrapText="1"/>
    </xf>
    <xf numFmtId="0" fontId="6" fillId="0" borderId="0" xfId="0" applyFont="1" applyAlignment="1">
      <alignment horizontal="justify" vertical="center" wrapText="1"/>
    </xf>
    <xf numFmtId="0" fontId="25" fillId="10" borderId="0" xfId="0" applyFont="1" applyFill="1" applyBorder="1" applyAlignment="1">
      <alignment horizontal="center"/>
    </xf>
    <xf numFmtId="0" fontId="25" fillId="10" borderId="0" xfId="0" applyFont="1" applyFill="1" applyBorder="1" applyAlignment="1">
      <alignment horizontal="center" vertical="center" wrapText="1"/>
    </xf>
    <xf numFmtId="0" fontId="25" fillId="10" borderId="0" xfId="0" applyFont="1" applyFill="1" applyBorder="1" applyAlignment="1">
      <alignment horizontal="center" vertical="center"/>
    </xf>
    <xf numFmtId="0" fontId="25" fillId="12" borderId="0" xfId="0" applyFont="1" applyFill="1" applyAlignment="1">
      <alignment horizontal="center" vertical="center" wrapText="1"/>
    </xf>
    <xf numFmtId="177" fontId="3" fillId="3" borderId="0" xfId="0" applyNumberFormat="1" applyFont="1" applyFill="1" applyAlignment="1">
      <alignment horizontal="center"/>
    </xf>
    <xf numFmtId="0" fontId="11" fillId="0" borderId="0" xfId="0" applyFont="1"/>
    <xf numFmtId="0" fontId="11" fillId="0" borderId="0" xfId="0" applyFont="1" applyAlignment="1">
      <alignment horizontal="center" vertical="center" wrapText="1"/>
    </xf>
    <xf numFmtId="0" fontId="11" fillId="0" borderId="0" xfId="0" applyFont="1" applyAlignment="1">
      <alignment horizontal="center" vertical="center"/>
    </xf>
    <xf numFmtId="0" fontId="11" fillId="0" borderId="0" xfId="0" applyFont="1" applyAlignment="1">
      <alignment horizontal="center" vertical="center"/>
    </xf>
    <xf numFmtId="0" fontId="28" fillId="0" borderId="0" xfId="0" applyFont="1"/>
    <xf numFmtId="0" fontId="28" fillId="0" borderId="0" xfId="0" applyFont="1" applyAlignment="1">
      <alignment horizontal="center" vertical="center" wrapText="1"/>
    </xf>
    <xf numFmtId="0" fontId="28" fillId="0" borderId="0" xfId="0" applyFont="1" applyAlignment="1">
      <alignment horizontal="center" vertical="center"/>
    </xf>
    <xf numFmtId="0" fontId="29" fillId="10" borderId="9" xfId="19" applyFont="1" applyFill="1" applyBorder="1" applyAlignment="1">
      <alignment horizontal="center"/>
    </xf>
    <xf numFmtId="0" fontId="29" fillId="10" borderId="10" xfId="19" applyFont="1" applyFill="1" applyBorder="1" applyAlignment="1">
      <alignment horizontal="center"/>
    </xf>
    <xf numFmtId="0" fontId="29" fillId="10" borderId="11" xfId="19" applyFont="1" applyFill="1" applyBorder="1" applyAlignment="1">
      <alignment horizontal="center"/>
    </xf>
    <xf numFmtId="0" fontId="29" fillId="12" borderId="12" xfId="19" applyFont="1" applyFill="1" applyBorder="1" applyAlignment="1">
      <alignment horizontal="center" vertical="center" wrapText="1"/>
    </xf>
    <xf numFmtId="0" fontId="29" fillId="12" borderId="13" xfId="19" applyFont="1" applyFill="1" applyBorder="1" applyAlignment="1">
      <alignment horizontal="center" vertical="center" wrapText="1"/>
    </xf>
    <xf numFmtId="0" fontId="29" fillId="12" borderId="14" xfId="19" applyFont="1" applyFill="1" applyBorder="1" applyAlignment="1">
      <alignment horizontal="center" vertical="center" wrapText="1"/>
    </xf>
    <xf numFmtId="0" fontId="29" fillId="12" borderId="15" xfId="19" applyFont="1" applyFill="1" applyBorder="1" applyAlignment="1">
      <alignment horizontal="center" vertical="center" wrapText="1"/>
    </xf>
    <xf numFmtId="0" fontId="29" fillId="11" borderId="12" xfId="19" applyFont="1" applyFill="1" applyBorder="1" applyAlignment="1">
      <alignment horizontal="center" vertical="center" wrapText="1"/>
    </xf>
    <xf numFmtId="0" fontId="29" fillId="11" borderId="13" xfId="19" applyFont="1" applyFill="1" applyBorder="1" applyAlignment="1">
      <alignment horizontal="center" vertical="center" wrapText="1"/>
    </xf>
    <xf numFmtId="0" fontId="29" fillId="11" borderId="14" xfId="19" applyFont="1" applyFill="1" applyBorder="1" applyAlignment="1">
      <alignment horizontal="center" vertical="center"/>
    </xf>
    <xf numFmtId="0" fontId="29" fillId="11" borderId="15" xfId="19" applyFont="1" applyFill="1" applyBorder="1" applyAlignment="1">
      <alignment horizontal="center" vertical="center"/>
    </xf>
    <xf numFmtId="0" fontId="29" fillId="13" borderId="12" xfId="19" applyFont="1" applyFill="1" applyBorder="1" applyAlignment="1">
      <alignment horizontal="center" vertical="center"/>
    </xf>
    <xf numFmtId="183" fontId="29" fillId="13" borderId="13" xfId="9" applyNumberFormat="1" applyFont="1" applyFill="1" applyBorder="1" applyAlignment="1">
      <alignment horizontal="center" vertical="center"/>
    </xf>
    <xf numFmtId="183" fontId="29" fillId="13" borderId="14" xfId="9" applyNumberFormat="1" applyFont="1" applyFill="1" applyBorder="1" applyAlignment="1">
      <alignment horizontal="center" vertical="center"/>
    </xf>
    <xf numFmtId="183" fontId="29" fillId="13" borderId="15" xfId="9" applyNumberFormat="1" applyFont="1" applyFill="1" applyBorder="1" applyAlignment="1">
      <alignment horizontal="center" vertical="center"/>
    </xf>
    <xf numFmtId="0" fontId="30" fillId="0" borderId="0" xfId="0" applyNumberFormat="1" applyFont="1" applyFill="1" applyBorder="1" applyAlignment="1" applyProtection="1"/>
    <xf numFmtId="0" fontId="10" fillId="0" borderId="16" xfId="0" applyFont="1" applyFill="1" applyBorder="1" applyAlignment="1"/>
    <xf numFmtId="0" fontId="10" fillId="0" borderId="0" xfId="0" applyFont="1" applyFill="1" applyBorder="1" applyAlignment="1"/>
    <xf numFmtId="0" fontId="10" fillId="0" borderId="17" xfId="0" applyFont="1" applyFill="1" applyBorder="1" applyAlignment="1"/>
    <xf numFmtId="183" fontId="29" fillId="0" borderId="18" xfId="19" applyNumberFormat="1" applyFont="1" applyBorder="1" applyAlignment="1">
      <alignment horizontal="center" vertical="center" wrapText="1"/>
    </xf>
    <xf numFmtId="0" fontId="29" fillId="11" borderId="19" xfId="0" applyFont="1" applyFill="1" applyBorder="1" applyAlignment="1">
      <alignment horizontal="center" vertical="center"/>
    </xf>
    <xf numFmtId="0" fontId="29" fillId="11" borderId="20" xfId="0" applyFont="1" applyFill="1" applyBorder="1" applyAlignment="1">
      <alignment horizontal="center" vertical="center"/>
    </xf>
    <xf numFmtId="0" fontId="29" fillId="11" borderId="0" xfId="0" applyFont="1" applyFill="1" applyBorder="1" applyAlignment="1">
      <alignment horizontal="center" vertical="center"/>
    </xf>
    <xf numFmtId="0" fontId="29" fillId="11" borderId="17" xfId="0" applyFont="1" applyFill="1" applyBorder="1" applyAlignment="1">
      <alignment horizontal="center" vertical="center"/>
    </xf>
    <xf numFmtId="0" fontId="10" fillId="11" borderId="16" xfId="0" applyFont="1" applyFill="1" applyBorder="1" applyAlignment="1">
      <alignment horizontal="left" vertical="top"/>
    </xf>
    <xf numFmtId="0" fontId="10" fillId="11" borderId="0" xfId="0" applyFont="1" applyFill="1" applyBorder="1" applyAlignment="1">
      <alignment horizontal="left" vertical="top"/>
    </xf>
    <xf numFmtId="10" fontId="10" fillId="13" borderId="0" xfId="4" applyNumberFormat="1" applyFont="1" applyFill="1" applyBorder="1" applyAlignment="1">
      <alignment horizontal="center" vertical="center"/>
    </xf>
    <xf numFmtId="183" fontId="10" fillId="13" borderId="17" xfId="9" applyNumberFormat="1" applyFont="1" applyFill="1" applyBorder="1" applyAlignment="1">
      <alignment horizontal="center" vertical="center"/>
    </xf>
    <xf numFmtId="0" fontId="10" fillId="14" borderId="16" xfId="0" applyFont="1" applyFill="1" applyBorder="1" applyAlignment="1">
      <alignment horizontal="left" vertical="top"/>
    </xf>
    <xf numFmtId="0" fontId="10" fillId="14" borderId="0" xfId="0" applyFont="1" applyFill="1" applyBorder="1" applyAlignment="1">
      <alignment horizontal="left" vertical="top"/>
    </xf>
    <xf numFmtId="0" fontId="29" fillId="12" borderId="21" xfId="19" applyFont="1" applyFill="1" applyBorder="1" applyAlignment="1">
      <alignment horizontal="center" vertical="center" wrapText="1"/>
    </xf>
    <xf numFmtId="183" fontId="29" fillId="13" borderId="22" xfId="19" applyNumberFormat="1" applyFont="1" applyFill="1" applyBorder="1" applyAlignment="1">
      <alignment horizontal="center" vertical="center" wrapText="1"/>
    </xf>
    <xf numFmtId="0" fontId="29" fillId="11" borderId="21" xfId="19" applyFont="1" applyFill="1" applyBorder="1" applyAlignment="1">
      <alignment horizontal="center" vertical="center" wrapText="1"/>
    </xf>
    <xf numFmtId="0" fontId="29" fillId="11" borderId="14" xfId="19" applyFont="1" applyFill="1" applyBorder="1" applyAlignment="1">
      <alignment horizontal="center" vertical="center" wrapText="1"/>
    </xf>
    <xf numFmtId="0" fontId="29" fillId="11" borderId="15" xfId="19" applyFont="1" applyFill="1" applyBorder="1" applyAlignment="1">
      <alignment horizontal="center" vertical="center" wrapText="1"/>
    </xf>
    <xf numFmtId="0" fontId="29" fillId="14" borderId="19" xfId="0" applyFont="1" applyFill="1" applyBorder="1" applyAlignment="1">
      <alignment horizontal="center" vertical="center"/>
    </xf>
    <xf numFmtId="0" fontId="29" fillId="14" borderId="20" xfId="0" applyFont="1" applyFill="1" applyBorder="1" applyAlignment="1">
      <alignment horizontal="center" vertical="center"/>
    </xf>
    <xf numFmtId="0" fontId="29" fillId="14" borderId="0" xfId="0" applyFont="1" applyFill="1" applyBorder="1" applyAlignment="1">
      <alignment horizontal="center" vertical="center"/>
    </xf>
    <xf numFmtId="0" fontId="29" fillId="14" borderId="17" xfId="0" applyFont="1" applyFill="1" applyBorder="1" applyAlignment="1">
      <alignment horizontal="center" vertical="center"/>
    </xf>
    <xf numFmtId="183" fontId="10" fillId="13" borderId="17" xfId="9" applyNumberFormat="1" applyFont="1" applyFill="1" applyBorder="1"/>
    <xf numFmtId="0" fontId="29" fillId="14" borderId="16" xfId="0" applyFont="1" applyFill="1" applyBorder="1" applyAlignment="1">
      <alignment horizontal="center"/>
    </xf>
    <xf numFmtId="0" fontId="29" fillId="14" borderId="0" xfId="0" applyFont="1" applyFill="1" applyBorder="1" applyAlignment="1">
      <alignment horizontal="center"/>
    </xf>
    <xf numFmtId="10" fontId="29" fillId="13" borderId="0" xfId="0" applyNumberFormat="1" applyFont="1" applyFill="1" applyBorder="1" applyAlignment="1">
      <alignment horizontal="center" vertical="center"/>
    </xf>
    <xf numFmtId="183" fontId="29" fillId="13" borderId="17" xfId="0" applyNumberFormat="1" applyFont="1" applyFill="1" applyBorder="1" applyAlignment="1">
      <alignment horizontal="center" vertical="center"/>
    </xf>
    <xf numFmtId="0" fontId="29" fillId="10" borderId="21" xfId="19" applyFont="1" applyFill="1" applyBorder="1" applyAlignment="1">
      <alignment horizontal="center" vertical="center" wrapText="1"/>
    </xf>
    <xf numFmtId="0" fontId="29" fillId="10" borderId="14" xfId="19" applyFont="1" applyFill="1" applyBorder="1" applyAlignment="1">
      <alignment horizontal="center" vertical="center" wrapText="1"/>
    </xf>
    <xf numFmtId="0" fontId="29" fillId="10" borderId="15" xfId="19" applyFont="1" applyFill="1" applyBorder="1" applyAlignment="1">
      <alignment horizontal="center" vertical="center" wrapText="1"/>
    </xf>
    <xf numFmtId="183" fontId="29" fillId="10" borderId="22" xfId="19" applyNumberFormat="1" applyFont="1" applyFill="1" applyBorder="1" applyAlignment="1">
      <alignment horizontal="center" vertical="center" wrapText="1"/>
    </xf>
    <xf numFmtId="0" fontId="9" fillId="0" borderId="0" xfId="0" applyFont="1" applyFill="1" applyAlignment="1"/>
    <xf numFmtId="0" fontId="2" fillId="0" borderId="0" xfId="0" applyFont="1" applyFill="1" applyAlignment="1">
      <alignment vertical="center" wrapText="1"/>
    </xf>
    <xf numFmtId="0" fontId="31" fillId="15" borderId="23" xfId="0" applyNumberFormat="1" applyFont="1" applyFill="1" applyBorder="1" applyAlignment="1" applyProtection="1">
      <alignment horizontal="center" vertical="center"/>
    </xf>
    <xf numFmtId="0" fontId="31" fillId="15" borderId="24" xfId="0" applyNumberFormat="1" applyFont="1" applyFill="1" applyBorder="1" applyAlignment="1" applyProtection="1">
      <alignment horizontal="center" vertical="center"/>
    </xf>
    <xf numFmtId="0" fontId="32" fillId="16" borderId="25" xfId="0" applyNumberFormat="1" applyFont="1" applyFill="1" applyBorder="1" applyAlignment="1" applyProtection="1">
      <alignment horizontal="left" vertical="center"/>
    </xf>
    <xf numFmtId="10" fontId="32" fillId="17" borderId="0" xfId="0" applyNumberFormat="1" applyFont="1" applyFill="1" applyBorder="1" applyAlignment="1" applyProtection="1">
      <alignment horizontal="center" vertical="center"/>
    </xf>
    <xf numFmtId="0" fontId="32" fillId="18" borderId="26" xfId="0" applyNumberFormat="1" applyFont="1" applyFill="1" applyBorder="1" applyAlignment="1" applyProtection="1">
      <alignment horizontal="left" vertical="center"/>
    </xf>
    <xf numFmtId="184" fontId="32" fillId="17" borderId="0" xfId="0" applyNumberFormat="1" applyFont="1" applyFill="1" applyBorder="1" applyAlignment="1" applyProtection="1">
      <alignment horizontal="center"/>
    </xf>
    <xf numFmtId="186" fontId="32" fillId="17" borderId="0" xfId="0" applyNumberFormat="1" applyFont="1" applyFill="1" applyBorder="1" applyAlignment="1" applyProtection="1">
      <alignment horizontal="center" vertical="center"/>
    </xf>
    <xf numFmtId="0" fontId="33" fillId="0" borderId="0" xfId="0" applyNumberFormat="1" applyFont="1" applyFill="1" applyBorder="1" applyAlignment="1" applyProtection="1"/>
    <xf numFmtId="0" fontId="34" fillId="19" borderId="27" xfId="0" applyFont="1" applyFill="1" applyBorder="1" applyAlignment="1">
      <alignment horizontal="center"/>
    </xf>
    <xf numFmtId="0" fontId="25" fillId="20" borderId="28" xfId="0" applyFont="1" applyFill="1" applyBorder="1" applyAlignment="1">
      <alignment horizontal="left" wrapText="1"/>
    </xf>
    <xf numFmtId="0" fontId="25" fillId="21" borderId="0" xfId="0" applyFont="1" applyFill="1" applyBorder="1" applyAlignment="1">
      <alignment horizontal="left" wrapText="1"/>
    </xf>
    <xf numFmtId="49" fontId="11" fillId="21" borderId="0" xfId="0" applyNumberFormat="1" applyFont="1" applyFill="1" applyBorder="1" applyAlignment="1">
      <alignment horizontal="left"/>
    </xf>
    <xf numFmtId="0" fontId="11" fillId="21" borderId="0" xfId="0" applyFont="1" applyFill="1" applyBorder="1" applyAlignment="1">
      <alignment horizontal="left"/>
    </xf>
    <xf numFmtId="0" fontId="25" fillId="0" borderId="0" xfId="0" applyFont="1" applyBorder="1" applyAlignment="1">
      <alignment horizontal="left" wrapText="1"/>
    </xf>
    <xf numFmtId="0" fontId="11" fillId="0" borderId="0" xfId="0" applyFont="1" applyBorder="1" applyAlignment="1">
      <alignment horizontal="left"/>
    </xf>
    <xf numFmtId="0" fontId="25" fillId="19" borderId="29" xfId="0" applyFont="1" applyFill="1" applyBorder="1" applyAlignment="1">
      <alignment horizontal="center"/>
    </xf>
    <xf numFmtId="0" fontId="11" fillId="20" borderId="30" xfId="0" applyFont="1" applyFill="1" applyBorder="1" applyAlignment="1">
      <alignment horizontal="center"/>
    </xf>
    <xf numFmtId="0" fontId="11" fillId="20" borderId="25" xfId="0" applyFont="1" applyFill="1" applyBorder="1"/>
    <xf numFmtId="0" fontId="11" fillId="22" borderId="25" xfId="0" applyFont="1" applyFill="1" applyBorder="1" applyAlignment="1">
      <alignment horizontal="center"/>
    </xf>
    <xf numFmtId="0" fontId="11" fillId="23" borderId="31" xfId="0" applyFont="1" applyFill="1" applyBorder="1" applyAlignment="1">
      <alignment horizontal="center"/>
    </xf>
    <xf numFmtId="0" fontId="11" fillId="23" borderId="32" xfId="0" applyFont="1" applyFill="1" applyBorder="1"/>
    <xf numFmtId="0" fontId="11" fillId="22" borderId="32" xfId="0" applyFont="1" applyFill="1" applyBorder="1" applyAlignment="1">
      <alignment horizontal="center"/>
    </xf>
    <xf numFmtId="0" fontId="11" fillId="20" borderId="31" xfId="0" applyFont="1" applyFill="1" applyBorder="1" applyAlignment="1">
      <alignment horizontal="center"/>
    </xf>
    <xf numFmtId="0" fontId="11" fillId="20" borderId="32" xfId="0" applyFont="1" applyFill="1" applyBorder="1"/>
    <xf numFmtId="0" fontId="25" fillId="19" borderId="27" xfId="0" applyFont="1" applyFill="1" applyBorder="1" applyAlignment="1">
      <alignment horizontal="center"/>
    </xf>
    <xf numFmtId="0" fontId="25" fillId="19" borderId="33" xfId="0" applyFont="1" applyFill="1" applyBorder="1" applyAlignment="1">
      <alignment horizontal="center" wrapText="1"/>
    </xf>
    <xf numFmtId="0" fontId="25" fillId="19" borderId="23" xfId="0" applyFont="1" applyFill="1" applyBorder="1" applyAlignment="1">
      <alignment horizontal="center"/>
    </xf>
    <xf numFmtId="0" fontId="11" fillId="20" borderId="32" xfId="0" applyFont="1" applyFill="1" applyBorder="1" applyAlignment="1">
      <alignment horizontal="center"/>
    </xf>
    <xf numFmtId="0" fontId="11" fillId="22" borderId="34" xfId="0" applyFont="1" applyFill="1" applyBorder="1" applyAlignment="1">
      <alignment horizontal="center"/>
    </xf>
    <xf numFmtId="0" fontId="11" fillId="23" borderId="32" xfId="0" applyFont="1" applyFill="1" applyBorder="1" applyAlignment="1">
      <alignment horizontal="center"/>
    </xf>
    <xf numFmtId="187" fontId="11" fillId="22" borderId="34" xfId="0" applyNumberFormat="1" applyFont="1" applyFill="1" applyBorder="1" applyAlignment="1">
      <alignment horizontal="center"/>
    </xf>
    <xf numFmtId="0" fontId="25" fillId="0" borderId="0" xfId="0" applyFont="1" applyBorder="1" applyAlignment="1">
      <alignment horizontal="center"/>
    </xf>
    <xf numFmtId="0" fontId="11" fillId="0" borderId="0" xfId="0" applyFont="1" applyAlignment="1">
      <alignment horizontal="center"/>
    </xf>
    <xf numFmtId="0" fontId="11" fillId="22" borderId="0" xfId="0" applyFont="1" applyFill="1" applyAlignment="1">
      <alignment horizontal="center"/>
    </xf>
    <xf numFmtId="187" fontId="11" fillId="22" borderId="0" xfId="0" applyNumberFormat="1" applyFont="1" applyFill="1" applyAlignment="1">
      <alignment horizontal="center"/>
    </xf>
    <xf numFmtId="49" fontId="11" fillId="22" borderId="0" xfId="0" applyNumberFormat="1" applyFont="1" applyFill="1" applyAlignment="1">
      <alignment horizontal="center"/>
    </xf>
    <xf numFmtId="10" fontId="11" fillId="0" borderId="0" xfId="0" applyNumberFormat="1" applyFont="1"/>
    <xf numFmtId="187" fontId="11" fillId="0" borderId="0" xfId="0" applyNumberFormat="1" applyFont="1" applyAlignment="1">
      <alignment horizontal="center"/>
    </xf>
    <xf numFmtId="0" fontId="25" fillId="19" borderId="0" xfId="0" applyFont="1" applyFill="1" applyBorder="1" applyAlignment="1">
      <alignment horizontal="center"/>
    </xf>
    <xf numFmtId="10" fontId="11" fillId="0" borderId="0" xfId="4" applyNumberFormat="1" applyFont="1" applyBorder="1" applyAlignment="1" applyProtection="1">
      <alignment horizontal="center"/>
    </xf>
    <xf numFmtId="0" fontId="11" fillId="0" borderId="0" xfId="0" applyFont="1" applyAlignment="1"/>
    <xf numFmtId="0" fontId="25" fillId="19" borderId="0" xfId="0" applyFont="1" applyFill="1" applyBorder="1" applyAlignment="1">
      <alignment horizontal="center" vertical="center"/>
    </xf>
    <xf numFmtId="0" fontId="25" fillId="20" borderId="25" xfId="0" applyFont="1" applyFill="1" applyBorder="1" applyAlignment="1">
      <alignment horizontal="center" vertical="center"/>
    </xf>
    <xf numFmtId="184" fontId="11" fillId="22" borderId="26" xfId="0" applyNumberFormat="1" applyFont="1" applyFill="1" applyBorder="1" applyAlignment="1">
      <alignment horizontal="center" vertical="center"/>
    </xf>
    <xf numFmtId="0" fontId="25" fillId="23" borderId="26" xfId="0" applyFont="1" applyFill="1" applyBorder="1" applyAlignment="1">
      <alignment horizontal="center" vertical="center"/>
    </xf>
    <xf numFmtId="184" fontId="25" fillId="22" borderId="26" xfId="0" applyNumberFormat="1" applyFont="1" applyFill="1" applyBorder="1" applyAlignment="1">
      <alignment horizontal="center" vertical="center"/>
    </xf>
    <xf numFmtId="10" fontId="11" fillId="0" borderId="0" xfId="0" applyNumberFormat="1" applyFont="1" applyAlignment="1">
      <alignment horizontal="center"/>
    </xf>
    <xf numFmtId="10" fontId="11" fillId="22" borderId="0" xfId="4" applyNumberFormat="1" applyFont="1" applyFill="1" applyBorder="1" applyAlignment="1" applyProtection="1">
      <alignment horizontal="center"/>
    </xf>
    <xf numFmtId="187" fontId="11" fillId="22" borderId="0" xfId="0" applyNumberFormat="1" applyFont="1" applyFill="1" applyAlignment="1">
      <alignment horizontal="center" vertical="center"/>
    </xf>
    <xf numFmtId="0" fontId="11" fillId="0" borderId="0" xfId="0" applyFont="1" applyAlignment="1">
      <alignment vertical="center"/>
    </xf>
    <xf numFmtId="187" fontId="0" fillId="22" borderId="0" xfId="0" applyNumberFormat="1" applyFill="1" applyAlignment="1">
      <alignment horizontal="center" vertical="center"/>
    </xf>
    <xf numFmtId="187" fontId="11" fillId="0" borderId="0" xfId="0" applyNumberFormat="1" applyFont="1" applyAlignment="1">
      <alignment horizontal="left" vertical="center"/>
    </xf>
    <xf numFmtId="187" fontId="11" fillId="0" borderId="0" xfId="0" applyNumberFormat="1" applyFont="1" applyAlignment="1">
      <alignment horizontal="center" vertical="center"/>
    </xf>
    <xf numFmtId="10" fontId="11" fillId="0" borderId="0" xfId="4" applyNumberFormat="1" applyFont="1" applyBorder="1" applyAlignment="1" applyProtection="1">
      <alignment horizontal="center" vertical="center"/>
    </xf>
    <xf numFmtId="0" fontId="11" fillId="0" borderId="0" xfId="0" applyFont="1" applyAlignment="1">
      <alignment wrapText="1"/>
    </xf>
    <xf numFmtId="10" fontId="11" fillId="22" borderId="0" xfId="4" applyNumberFormat="1" applyFont="1" applyFill="1" applyBorder="1" applyAlignment="1" applyProtection="1">
      <alignment horizontal="center" vertical="center"/>
    </xf>
    <xf numFmtId="10" fontId="11" fillId="13" borderId="0" xfId="4" applyNumberFormat="1" applyFont="1" applyFill="1" applyBorder="1" applyAlignment="1" applyProtection="1">
      <alignment horizontal="center" vertical="center"/>
    </xf>
    <xf numFmtId="187" fontId="11" fillId="13" borderId="0" xfId="0" applyNumberFormat="1" applyFont="1" applyFill="1" applyAlignment="1">
      <alignment horizontal="center" vertical="center"/>
    </xf>
    <xf numFmtId="0" fontId="25" fillId="19" borderId="0" xfId="0" applyFont="1" applyFill="1" applyBorder="1" applyAlignment="1">
      <alignment horizontal="center" wrapText="1"/>
    </xf>
    <xf numFmtId="185" fontId="11" fillId="22" borderId="0" xfId="0" applyNumberFormat="1" applyFont="1" applyFill="1" applyAlignment="1">
      <alignment horizontal="center"/>
    </xf>
    <xf numFmtId="0" fontId="11" fillId="0" borderId="0" xfId="0" applyFont="1" applyAlignment="1">
      <alignment vertical="center" wrapText="1"/>
    </xf>
    <xf numFmtId="0" fontId="35" fillId="0" borderId="0" xfId="0" applyFont="1" applyAlignment="1">
      <alignment horizontal="center" vertical="center" wrapText="1"/>
    </xf>
    <xf numFmtId="187" fontId="35" fillId="0" borderId="0" xfId="0" applyNumberFormat="1" applyFont="1" applyAlignment="1">
      <alignment vertical="center"/>
    </xf>
    <xf numFmtId="187" fontId="35" fillId="0" borderId="0" xfId="0" applyNumberFormat="1" applyFont="1" applyAlignment="1">
      <alignment horizontal="center"/>
    </xf>
    <xf numFmtId="187" fontId="36" fillId="22" borderId="0" xfId="0" applyNumberFormat="1" applyFont="1" applyFill="1" applyAlignment="1">
      <alignment horizontal="center"/>
    </xf>
    <xf numFmtId="0" fontId="25" fillId="19" borderId="23" xfId="0" applyFont="1" applyFill="1" applyBorder="1" applyAlignment="1">
      <alignment horizontal="center" vertical="center"/>
    </xf>
    <xf numFmtId="0" fontId="11" fillId="20" borderId="25" xfId="0" applyFont="1" applyFill="1" applyBorder="1" applyAlignment="1">
      <alignment horizontal="left" vertical="center"/>
    </xf>
    <xf numFmtId="0" fontId="11" fillId="23" borderId="26" xfId="0" applyFont="1" applyFill="1" applyBorder="1" applyAlignment="1">
      <alignment horizontal="left" vertical="center"/>
    </xf>
    <xf numFmtId="184" fontId="11" fillId="22" borderId="0" xfId="0" applyNumberFormat="1" applyFont="1" applyFill="1" applyAlignment="1">
      <alignment horizontal="center" vertical="center"/>
    </xf>
    <xf numFmtId="186" fontId="11" fillId="22" borderId="0" xfId="0" applyNumberFormat="1" applyFont="1" applyFill="1" applyAlignment="1">
      <alignment horizontal="center" vertical="center"/>
    </xf>
    <xf numFmtId="0" fontId="11" fillId="0" borderId="0" xfId="0" applyFont="1" applyAlignment="1">
      <alignment horizontal="right"/>
    </xf>
    <xf numFmtId="0" fontId="11" fillId="19" borderId="0" xfId="0" applyFont="1" applyFill="1"/>
    <xf numFmtId="0" fontId="25" fillId="19" borderId="0" xfId="0" applyFont="1" applyFill="1" applyAlignment="1">
      <alignment horizontal="center" vertical="center"/>
    </xf>
    <xf numFmtId="187" fontId="25" fillId="19" borderId="0" xfId="0" applyNumberFormat="1" applyFont="1" applyFill="1" applyAlignment="1">
      <alignment horizontal="center"/>
    </xf>
    <xf numFmtId="187" fontId="0" fillId="22" borderId="0" xfId="0" applyNumberFormat="1" applyFill="1" applyAlignment="1">
      <alignment horizontal="center"/>
    </xf>
    <xf numFmtId="187" fontId="11" fillId="13" borderId="0" xfId="0" applyNumberFormat="1" applyFont="1" applyFill="1" applyAlignment="1">
      <alignment horizontal="center"/>
    </xf>
    <xf numFmtId="184" fontId="11" fillId="22" borderId="0" xfId="0" applyNumberFormat="1" applyFont="1" applyFill="1" applyAlignment="1">
      <alignment horizontal="center"/>
    </xf>
    <xf numFmtId="0" fontId="37" fillId="19" borderId="27" xfId="0" applyFont="1" applyFill="1" applyBorder="1" applyAlignment="1">
      <alignment horizontal="center"/>
    </xf>
    <xf numFmtId="0" fontId="26" fillId="20" borderId="28" xfId="0" applyFont="1" applyFill="1" applyBorder="1" applyAlignment="1">
      <alignment horizontal="left" wrapText="1"/>
    </xf>
    <xf numFmtId="0" fontId="26" fillId="21" borderId="0" xfId="0" applyFont="1" applyFill="1" applyBorder="1" applyAlignment="1">
      <alignment horizontal="left" wrapText="1"/>
    </xf>
    <xf numFmtId="49" fontId="0" fillId="21" borderId="0" xfId="0" applyNumberFormat="1" applyFont="1" applyFill="1" applyBorder="1" applyAlignment="1">
      <alignment horizontal="left"/>
    </xf>
    <xf numFmtId="0" fontId="0" fillId="21" borderId="0" xfId="0" applyFont="1" applyFill="1" applyBorder="1" applyAlignment="1">
      <alignment horizontal="left"/>
    </xf>
    <xf numFmtId="0" fontId="26" fillId="0" borderId="0" xfId="0" applyFont="1" applyBorder="1" applyAlignment="1">
      <alignment horizontal="left" wrapText="1"/>
    </xf>
    <xf numFmtId="0" fontId="0" fillId="0" borderId="0" xfId="0" applyFont="1" applyBorder="1" applyAlignment="1">
      <alignment horizontal="left"/>
    </xf>
    <xf numFmtId="0" fontId="38" fillId="19" borderId="29" xfId="0" applyFont="1" applyFill="1" applyBorder="1" applyAlignment="1">
      <alignment horizontal="center"/>
    </xf>
    <xf numFmtId="0" fontId="0" fillId="20" borderId="30" xfId="0" applyFont="1" applyFill="1" applyBorder="1" applyAlignment="1">
      <alignment horizontal="center"/>
    </xf>
    <xf numFmtId="0" fontId="0" fillId="20" borderId="25" xfId="0" applyFont="1" applyFill="1" applyBorder="1"/>
    <xf numFmtId="0" fontId="0" fillId="22" borderId="25" xfId="0" applyFont="1" applyFill="1" applyBorder="1" applyAlignment="1">
      <alignment horizontal="center"/>
    </xf>
    <xf numFmtId="0" fontId="0" fillId="23" borderId="31" xfId="0" applyFont="1" applyFill="1" applyBorder="1" applyAlignment="1">
      <alignment horizontal="center"/>
    </xf>
    <xf numFmtId="0" fontId="0" fillId="23" borderId="32" xfId="0" applyFont="1" applyFill="1" applyBorder="1"/>
    <xf numFmtId="0" fontId="0" fillId="22" borderId="32" xfId="0" applyFont="1" applyFill="1" applyBorder="1" applyAlignment="1">
      <alignment horizontal="center"/>
    </xf>
    <xf numFmtId="0" fontId="0" fillId="20" borderId="31" xfId="0" applyFont="1" applyFill="1" applyBorder="1" applyAlignment="1">
      <alignment horizontal="center"/>
    </xf>
    <xf numFmtId="0" fontId="0" fillId="20" borderId="32" xfId="0" applyFont="1" applyFill="1" applyBorder="1"/>
    <xf numFmtId="0" fontId="38" fillId="19" borderId="27" xfId="0" applyFont="1" applyFill="1" applyBorder="1" applyAlignment="1">
      <alignment horizontal="center"/>
    </xf>
    <xf numFmtId="0" fontId="38" fillId="19" borderId="33" xfId="0" applyFont="1" applyFill="1" applyBorder="1" applyAlignment="1">
      <alignment horizontal="center" wrapText="1"/>
    </xf>
    <xf numFmtId="0" fontId="38" fillId="19" borderId="23" xfId="0" applyFont="1" applyFill="1" applyBorder="1" applyAlignment="1">
      <alignment horizontal="center"/>
    </xf>
    <xf numFmtId="0" fontId="0" fillId="20" borderId="32" xfId="0" applyFont="1" applyFill="1" applyBorder="1" applyAlignment="1">
      <alignment horizontal="center"/>
    </xf>
    <xf numFmtId="0" fontId="0" fillId="22" borderId="34" xfId="0" applyFont="1" applyFill="1" applyBorder="1" applyAlignment="1">
      <alignment horizontal="center"/>
    </xf>
    <xf numFmtId="0" fontId="0" fillId="23" borderId="32" xfId="0" applyFont="1" applyFill="1" applyBorder="1" applyAlignment="1">
      <alignment horizontal="center"/>
    </xf>
    <xf numFmtId="187" fontId="0" fillId="22" borderId="34" xfId="0" applyNumberFormat="1" applyFont="1" applyFill="1" applyBorder="1" applyAlignment="1">
      <alignment horizontal="center"/>
    </xf>
    <xf numFmtId="0" fontId="26" fillId="0" borderId="0" xfId="0" applyFont="1" applyBorder="1" applyAlignment="1">
      <alignment horizontal="center"/>
    </xf>
    <xf numFmtId="0" fontId="0" fillId="0" borderId="0" xfId="0" applyFont="1" applyAlignment="1">
      <alignment horizontal="center"/>
    </xf>
    <xf numFmtId="0" fontId="0" fillId="22" borderId="0" xfId="0" applyFill="1" applyAlignment="1">
      <alignment horizontal="center"/>
    </xf>
    <xf numFmtId="0" fontId="0" fillId="22" borderId="0" xfId="0" applyFont="1" applyFill="1" applyAlignment="1">
      <alignment horizontal="center"/>
    </xf>
    <xf numFmtId="49" fontId="0" fillId="22" borderId="0" xfId="0" applyNumberFormat="1" applyFont="1" applyFill="1" applyAlignment="1">
      <alignment horizontal="center"/>
    </xf>
    <xf numFmtId="0" fontId="0" fillId="0" borderId="0" xfId="0" applyFont="1"/>
    <xf numFmtId="10" fontId="0" fillId="0" borderId="0" xfId="0" applyNumberFormat="1"/>
    <xf numFmtId="187" fontId="0" fillId="0" borderId="0" xfId="0" applyNumberFormat="1" applyAlignment="1">
      <alignment horizontal="center"/>
    </xf>
    <xf numFmtId="0" fontId="38" fillId="19" borderId="0" xfId="0" applyFont="1" applyFill="1" applyBorder="1" applyAlignment="1">
      <alignment horizontal="center"/>
    </xf>
    <xf numFmtId="10" fontId="0" fillId="0" borderId="0" xfId="4" applyNumberFormat="1" applyFont="1" applyBorder="1" applyAlignment="1" applyProtection="1">
      <alignment horizontal="center"/>
    </xf>
    <xf numFmtId="0" fontId="0" fillId="0" borderId="0" xfId="0" applyAlignment="1"/>
    <xf numFmtId="0" fontId="38" fillId="19" borderId="0" xfId="0" applyFont="1" applyFill="1" applyBorder="1" applyAlignment="1">
      <alignment horizontal="center" vertical="center"/>
    </xf>
    <xf numFmtId="0" fontId="26" fillId="20" borderId="25" xfId="0" applyFont="1" applyFill="1" applyBorder="1" applyAlignment="1">
      <alignment horizontal="center" vertical="center"/>
    </xf>
    <xf numFmtId="184" fontId="0" fillId="22" borderId="26" xfId="0" applyNumberFormat="1" applyFont="1" applyFill="1" applyBorder="1" applyAlignment="1">
      <alignment horizontal="center" vertical="center"/>
    </xf>
    <xf numFmtId="0" fontId="26" fillId="23" borderId="26" xfId="0" applyFont="1" applyFill="1" applyBorder="1" applyAlignment="1">
      <alignment horizontal="center" vertical="center"/>
    </xf>
    <xf numFmtId="184" fontId="26" fillId="22" borderId="26" xfId="0" applyNumberFormat="1" applyFont="1" applyFill="1" applyBorder="1" applyAlignment="1">
      <alignment horizontal="center" vertical="center"/>
    </xf>
    <xf numFmtId="10" fontId="0" fillId="0" borderId="0" xfId="0" applyNumberFormat="1" applyAlignment="1">
      <alignment horizontal="center"/>
    </xf>
    <xf numFmtId="10" fontId="0" fillId="22" borderId="0" xfId="4" applyNumberFormat="1" applyFont="1" applyFill="1" applyBorder="1" applyAlignment="1" applyProtection="1">
      <alignment horizontal="center"/>
    </xf>
    <xf numFmtId="187" fontId="0" fillId="22" borderId="0" xfId="0" applyNumberFormat="1" applyFont="1" applyFill="1" applyAlignment="1">
      <alignment horizontal="center"/>
    </xf>
    <xf numFmtId="0" fontId="0" fillId="0" borderId="0" xfId="0" applyFont="1" applyAlignment="1">
      <alignment horizontal="center" vertical="center"/>
    </xf>
    <xf numFmtId="0" fontId="0" fillId="0" borderId="0" xfId="0" applyFont="1" applyAlignment="1">
      <alignment vertical="center"/>
    </xf>
    <xf numFmtId="187" fontId="0" fillId="0" borderId="0" xfId="0" applyNumberFormat="1" applyFont="1" applyAlignment="1">
      <alignment horizontal="left" vertical="center"/>
    </xf>
    <xf numFmtId="10" fontId="0" fillId="0" borderId="0" xfId="4" applyNumberFormat="1" applyFont="1" applyBorder="1" applyAlignment="1" applyProtection="1">
      <alignment horizontal="center" vertical="center"/>
    </xf>
    <xf numFmtId="0" fontId="0" fillId="0" borderId="0" xfId="0" applyFont="1" applyAlignment="1">
      <alignment wrapText="1"/>
    </xf>
    <xf numFmtId="10" fontId="0" fillId="22" borderId="0" xfId="4" applyNumberFormat="1" applyFont="1" applyFill="1" applyBorder="1" applyAlignment="1" applyProtection="1">
      <alignment horizontal="center" vertical="center"/>
    </xf>
    <xf numFmtId="10" fontId="0" fillId="13" borderId="0" xfId="4" applyNumberFormat="1" applyFont="1" applyFill="1" applyBorder="1" applyAlignment="1" applyProtection="1">
      <alignment horizontal="center" vertical="center"/>
    </xf>
    <xf numFmtId="187" fontId="0" fillId="13" borderId="0" xfId="0" applyNumberFormat="1" applyFill="1" applyAlignment="1">
      <alignment horizontal="center"/>
    </xf>
    <xf numFmtId="0" fontId="38" fillId="19" borderId="0" xfId="0" applyFont="1" applyFill="1" applyBorder="1" applyAlignment="1">
      <alignment horizontal="center" wrapText="1"/>
    </xf>
    <xf numFmtId="185" fontId="0" fillId="22" borderId="0" xfId="0" applyNumberFormat="1" applyFill="1" applyAlignment="1">
      <alignment horizontal="center"/>
    </xf>
    <xf numFmtId="0" fontId="0" fillId="0" borderId="0" xfId="0" applyAlignment="1">
      <alignment vertical="center" wrapText="1"/>
    </xf>
    <xf numFmtId="0" fontId="35" fillId="0" borderId="0" xfId="0" applyFont="1" applyAlignment="1">
      <alignment horizontal="center"/>
    </xf>
    <xf numFmtId="187" fontId="39" fillId="22" borderId="0" xfId="0" applyNumberFormat="1" applyFont="1" applyFill="1" applyAlignment="1">
      <alignment horizontal="center"/>
    </xf>
    <xf numFmtId="187" fontId="0" fillId="0" borderId="0" xfId="0" applyNumberFormat="1" applyAlignment="1">
      <alignment horizontal="center" vertical="center"/>
    </xf>
    <xf numFmtId="187" fontId="11" fillId="22" borderId="0" xfId="0" applyNumberFormat="1" applyFont="1" applyFill="1" applyAlignment="1">
      <alignment horizontal="center"/>
    </xf>
    <xf numFmtId="0" fontId="38" fillId="19" borderId="23" xfId="0" applyFont="1" applyFill="1" applyBorder="1" applyAlignment="1">
      <alignment horizontal="center" vertical="center"/>
    </xf>
    <xf numFmtId="0" fontId="0" fillId="20" borderId="25" xfId="0" applyFont="1" applyFill="1" applyBorder="1" applyAlignment="1">
      <alignment horizontal="left" vertical="center"/>
    </xf>
    <xf numFmtId="0" fontId="0" fillId="23" borderId="26" xfId="0" applyFont="1" applyFill="1" applyBorder="1" applyAlignment="1">
      <alignment horizontal="left" vertical="center"/>
    </xf>
    <xf numFmtId="184" fontId="0" fillId="22" borderId="0" xfId="0" applyNumberFormat="1" applyFill="1" applyAlignment="1">
      <alignment horizontal="center"/>
    </xf>
    <xf numFmtId="186" fontId="0" fillId="22" borderId="0" xfId="0" applyNumberFormat="1" applyFill="1" applyAlignment="1">
      <alignment horizontal="center" vertical="center"/>
    </xf>
    <xf numFmtId="0" fontId="0" fillId="0" borderId="0" xfId="0" applyAlignment="1">
      <alignment horizontal="center"/>
    </xf>
    <xf numFmtId="0" fontId="0" fillId="0" borderId="0" xfId="0" applyFont="1" applyAlignment="1">
      <alignment horizontal="right"/>
    </xf>
    <xf numFmtId="0" fontId="40" fillId="19" borderId="0" xfId="0" applyFont="1" applyFill="1"/>
    <xf numFmtId="0" fontId="38" fillId="19" borderId="0" xfId="0" applyFont="1" applyFill="1" applyAlignment="1">
      <alignment horizontal="center" vertical="center"/>
    </xf>
    <xf numFmtId="187" fontId="38" fillId="19" borderId="0" xfId="0" applyNumberFormat="1" applyFont="1" applyFill="1" applyAlignment="1">
      <alignment horizontal="center"/>
    </xf>
    <xf numFmtId="0" fontId="41" fillId="0" borderId="0" xfId="0" applyFont="1"/>
    <xf numFmtId="176" fontId="0" fillId="0" borderId="0" xfId="0" applyNumberFormat="1" applyAlignment="1">
      <alignment horizontal="center" vertical="center"/>
    </xf>
    <xf numFmtId="184" fontId="0" fillId="22" borderId="0" xfId="0" applyNumberFormat="1" applyFill="1"/>
    <xf numFmtId="0" fontId="40" fillId="19" borderId="0" xfId="0" applyFont="1" applyFill="1" applyAlignment="1">
      <alignment wrapText="1"/>
    </xf>
    <xf numFmtId="0" fontId="38" fillId="19" borderId="0" xfId="0" applyFont="1" applyFill="1" applyAlignment="1">
      <alignment horizontal="center" vertical="center" wrapText="1"/>
    </xf>
    <xf numFmtId="187" fontId="38" fillId="19" borderId="0" xfId="0" applyNumberFormat="1" applyFont="1" applyFill="1" applyAlignment="1">
      <alignment horizontal="center" wrapText="1"/>
    </xf>
    <xf numFmtId="187" fontId="0" fillId="13" borderId="0" xfId="0" applyNumberFormat="1" applyFill="1" applyAlignment="1">
      <alignment horizontal="center" vertical="center"/>
    </xf>
    <xf numFmtId="177" fontId="11" fillId="22" borderId="0" xfId="0" applyNumberFormat="1" applyFont="1" applyFill="1" applyAlignment="1">
      <alignment horizontal="center"/>
    </xf>
    <xf numFmtId="187" fontId="11" fillId="0" borderId="0" xfId="0" applyNumberFormat="1" applyFont="1" applyAlignment="1">
      <alignment horizontal="center"/>
    </xf>
    <xf numFmtId="0" fontId="26" fillId="0" borderId="35" xfId="0" applyFont="1" applyBorder="1" applyAlignment="1">
      <alignment horizontal="center"/>
    </xf>
    <xf numFmtId="178" fontId="0" fillId="22" borderId="0" xfId="9" applyFont="1" applyFill="1" applyBorder="1" applyAlignment="1" applyProtection="1">
      <alignment horizontal="center"/>
    </xf>
    <xf numFmtId="188" fontId="0" fillId="22" borderId="0" xfId="0" applyNumberFormat="1" applyFill="1" applyAlignment="1">
      <alignment horizontal="center"/>
    </xf>
    <xf numFmtId="9" fontId="0" fillId="22" borderId="0" xfId="0" applyNumberFormat="1" applyFill="1" applyAlignment="1">
      <alignment horizontal="center"/>
    </xf>
    <xf numFmtId="0" fontId="0" fillId="0" borderId="0" xfId="0" applyFont="1" applyAlignment="1"/>
    <xf numFmtId="10" fontId="0" fillId="22" borderId="0" xfId="4" applyNumberFormat="1" applyFont="1" applyFill="1" applyBorder="1" applyAlignment="1" applyProtection="1"/>
    <xf numFmtId="10" fontId="0" fillId="0" borderId="0" xfId="4" applyNumberFormat="1" applyFont="1" applyBorder="1" applyAlignment="1" applyProtection="1"/>
    <xf numFmtId="0" fontId="26" fillId="0" borderId="0" xfId="0" applyFont="1" applyBorder="1" applyAlignment="1">
      <alignment horizontal="center" vertical="center"/>
    </xf>
    <xf numFmtId="0" fontId="26" fillId="0" borderId="0" xfId="0" applyFont="1" applyBorder="1" applyAlignment="1">
      <alignment vertical="center"/>
    </xf>
    <xf numFmtId="0" fontId="0" fillId="0" borderId="0" xfId="0" applyFont="1" applyAlignment="1">
      <alignment horizontal="left" vertical="center" wrapText="1"/>
    </xf>
    <xf numFmtId="0" fontId="0" fillId="0" borderId="0" xfId="0" applyFont="1" applyAlignment="1">
      <alignment horizontal="center" vertical="center" wrapText="1"/>
    </xf>
    <xf numFmtId="0" fontId="0" fillId="0" borderId="0" xfId="0" applyFont="1" applyAlignment="1">
      <alignment horizontal="left" vertical="center"/>
    </xf>
    <xf numFmtId="187" fontId="0" fillId="0" borderId="0" xfId="0" applyNumberFormat="1" applyFont="1" applyAlignment="1">
      <alignment horizontal="center" vertical="center" wrapText="1"/>
    </xf>
    <xf numFmtId="187" fontId="40" fillId="19" borderId="0" xfId="0" applyNumberFormat="1" applyFont="1" applyFill="1" applyAlignment="1">
      <alignment horizontal="center"/>
    </xf>
  </cellXfs>
  <cellStyles count="49">
    <cellStyle name="Normal" xfId="0" builtinId="0"/>
    <cellStyle name="Comma" xfId="1" builtinId="3"/>
    <cellStyle name="Comma [0]" xfId="2" builtinId="6"/>
    <cellStyle name="40% - Ênfase 4" xfId="3" builtinId="43"/>
    <cellStyle name="Porcentagem" xfId="4" builtinId="5"/>
    <cellStyle name="Célula Vinculada" xfId="5" builtinId="24"/>
    <cellStyle name="Célula de Verificação" xfId="6" builtinId="23"/>
    <cellStyle name="Moeda [0]" xfId="7" builtinId="7"/>
    <cellStyle name="20% - Ênfase 3" xfId="8" builtinId="38"/>
    <cellStyle name="Moeda" xfId="9" builtinId="4"/>
    <cellStyle name="Hyperlink seguido" xfId="10" builtinId="9"/>
    <cellStyle name="Hyperlink" xfId="11" builtinId="8"/>
    <cellStyle name="40% - Ênfase 2" xfId="12" builtinId="35"/>
    <cellStyle name="Observação" xfId="13" builtinId="10"/>
    <cellStyle name="40% - Ênfase 6" xfId="14" builtinId="51"/>
    <cellStyle name="Texto de Aviso" xfId="15" builtinId="11"/>
    <cellStyle name="Título" xfId="16" builtinId="15"/>
    <cellStyle name="Texto Explicativo" xfId="17" builtinId="53"/>
    <cellStyle name="Ênfase 3" xfId="18" builtinId="37"/>
    <cellStyle name="Título 1" xfId="19" builtinId="16"/>
    <cellStyle name="Ênfase 4" xfId="20" builtinId="41"/>
    <cellStyle name="Título 2" xfId="21" builtinId="17"/>
    <cellStyle name="Ênfase 5" xfId="22" builtinId="45"/>
    <cellStyle name="Título 3" xfId="23" builtinId="18"/>
    <cellStyle name="Ênfase 6" xfId="24" builtinId="49"/>
    <cellStyle name="Título 4" xfId="25" builtinId="19"/>
    <cellStyle name="Entrada" xfId="26" builtinId="20"/>
    <cellStyle name="Saída" xfId="27" builtinId="21"/>
    <cellStyle name="Cálculo" xfId="28" builtinId="22"/>
    <cellStyle name="Total" xfId="29" builtinId="25"/>
    <cellStyle name="40% - Ênfase 1" xfId="30" builtinId="31"/>
    <cellStyle name="Bom" xfId="31" builtinId="26"/>
    <cellStyle name="Ruim" xfId="32" builtinId="27"/>
    <cellStyle name="Neutro" xfId="33" builtinId="28"/>
    <cellStyle name="20% - Ênfase 5" xfId="34" builtinId="46"/>
    <cellStyle name="Ênfase 1" xfId="35" builtinId="29"/>
    <cellStyle name="20% - Ênfase 1" xfId="36" builtinId="30"/>
    <cellStyle name="60% - Ênfase 1" xfId="37" builtinId="32"/>
    <cellStyle name="20% - Ênfase 6" xfId="38" builtinId="50"/>
    <cellStyle name="Ênfase 2" xfId="39" builtinId="33"/>
    <cellStyle name="20% - Ênfase 2" xfId="40" builtinId="34"/>
    <cellStyle name="60% - Ênfase 2" xfId="41" builtinId="36"/>
    <cellStyle name="40% - Ênfase 3" xfId="42" builtinId="39"/>
    <cellStyle name="60% - Ênfase 3" xfId="43" builtinId="40"/>
    <cellStyle name="20% - Ênfase 4" xfId="44" builtinId="42"/>
    <cellStyle name="60% - Ênfase 4" xfId="45" builtinId="44"/>
    <cellStyle name="40% - Ênfase 5" xfId="46" builtinId="47"/>
    <cellStyle name="60% - Ênfase 5" xfId="47" builtinId="48"/>
    <cellStyle name="60% - Ênfase 6" xfId="48" builtinId="52"/>
  </cellStyles>
  <dxfs count="473">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font>
        <color theme="0"/>
      </font>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font>
        <color auto="1"/>
      </font>
      <alignment wrapText="1"/>
    </dxf>
    <dxf>
      <font>
        <color auto="1"/>
      </font>
      <alignment wrapText="1"/>
    </dxf>
    <dxf>
      <font>
        <color auto="1"/>
      </font>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font>
        <color theme="0"/>
      </font>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font>
        <color auto="1"/>
      </font>
      <alignment wrapText="1"/>
    </dxf>
    <dxf>
      <font>
        <color auto="1"/>
      </font>
      <alignment wrapText="1"/>
    </dxf>
    <dxf>
      <font>
        <color auto="1"/>
      </font>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font>
        <color auto="1"/>
      </font>
      <alignment wrapText="1"/>
    </dxf>
    <dxf>
      <font>
        <color auto="1"/>
      </font>
      <alignment wrapText="1"/>
    </dxf>
    <dxf>
      <font>
        <color auto="1"/>
      </font>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font>
        <color auto="1"/>
      </font>
      <alignment wrapText="1"/>
    </dxf>
    <dxf>
      <font>
        <color auto="1"/>
      </font>
      <alignment wrapText="1"/>
    </dxf>
    <dxf>
      <font>
        <color auto="1"/>
      </font>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font>
        <color auto="1"/>
      </font>
      <alignment wrapText="1"/>
    </dxf>
    <dxf>
      <font>
        <color auto="1"/>
      </font>
      <alignment wrapText="1"/>
    </dxf>
    <dxf>
      <font>
        <color auto="1"/>
      </font>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horizontal="center" vertical="center" wrapText="1"/>
    </dxf>
    <dxf>
      <alignment horizontal="center" vertical="center"/>
    </dxf>
    <dxf>
      <alignment horizontal="center" vertical="center" wrapText="1"/>
    </dxf>
    <dxf>
      <alignment horizontal="center" vertical="center"/>
    </dxf>
    <dxf>
      <alignment horizontal="center" vertical="center" wrapText="1"/>
    </dxf>
    <dxf>
      <alignment horizontal="center" vertical="center"/>
    </dxf>
    <dxf>
      <alignment vertical="center" wrapText="1"/>
    </dxf>
    <dxf>
      <alignment wrapText="1"/>
    </dxf>
    <dxf>
      <alignment horizontal="center" vertical="center"/>
    </dxf>
    <dxf>
      <alignment wrapText="1"/>
    </dxf>
    <dxf>
      <alignment wrapText="1"/>
    </dxf>
    <dxf>
      <numFmt numFmtId="176" formatCode="&quot;R$&quot;\ #,##0.00_);[Red]\(&quot;R$&quot;\ #,##0.00\)"/>
      <alignment horizontal="center" vertical="center"/>
    </dxf>
    <dxf>
      <alignment wrapText="1"/>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A9D18E"/>
      <rgbColor rgb="00808080"/>
      <rgbColor rgb="009999FF"/>
      <rgbColor rgb="00993366"/>
      <rgbColor rgb="00F2F2F2"/>
      <rgbColor rgb="00CCFFFF"/>
      <rgbColor rgb="00660066"/>
      <rgbColor rgb="00FF8080"/>
      <rgbColor rgb="000066CC"/>
      <rgbColor rgb="00C5E0B4"/>
      <rgbColor rgb="00000080"/>
      <rgbColor rgb="00FF00FF"/>
      <rgbColor rgb="00FFFF00"/>
      <rgbColor rgb="0000FFFF"/>
      <rgbColor rgb="00800080"/>
      <rgbColor rgb="00800000"/>
      <rgbColor rgb="00008080"/>
      <rgbColor rgb="000000FF"/>
      <rgbColor rgb="0000CCFF"/>
      <rgbColor rgb="00CCFFFF"/>
      <rgbColor rgb="00E2F0D9"/>
      <rgbColor rgb="00FFFF99"/>
      <rgbColor rgb="0099CCFF"/>
      <rgbColor rgb="00FF99CC"/>
      <rgbColor rgb="00CC99FF"/>
      <rgbColor rgb="00F4B183"/>
      <rgbColor rgb="003366FF"/>
      <rgbColor rgb="0033CCCC"/>
      <rgbColor rgb="0099CC00"/>
      <rgbColor rgb="00FFCC00"/>
      <rgbColor rgb="00FF9900"/>
      <rgbColor rgb="00FF6600"/>
      <rgbColor rgb="00666699"/>
      <rgbColor rgb="0070AD47"/>
      <rgbColor rgb="00003366"/>
      <rgbColor rgb="00339966"/>
      <rgbColor rgb="00003300"/>
      <rgbColor rgb="00333300"/>
      <rgbColor rgb="00993300"/>
      <rgbColor rgb="00993366"/>
      <rgbColor rgb="00333399"/>
      <rgbColor rgb="00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8" Type="http://schemas.openxmlformats.org/officeDocument/2006/relationships/sharedStrings" Target="sharedStrings.xml"/><Relationship Id="rId17" Type="http://schemas.openxmlformats.org/officeDocument/2006/relationships/styles" Target="styles.xml"/><Relationship Id="rId16" Type="http://schemas.openxmlformats.org/officeDocument/2006/relationships/theme" Target="theme/theme1.xml"/><Relationship Id="rId15" Type="http://schemas.openxmlformats.org/officeDocument/2006/relationships/worksheet" Target="worksheets/sheet15.xml"/><Relationship Id="rId14" Type="http://schemas.openxmlformats.org/officeDocument/2006/relationships/worksheet" Target="worksheets/sheet14.xml"/><Relationship Id="rId13" Type="http://schemas.openxmlformats.org/officeDocument/2006/relationships/worksheet" Target="worksheets/sheet13.xml"/><Relationship Id="rId12" Type="http://schemas.openxmlformats.org/officeDocument/2006/relationships/worksheet" Target="worksheets/sheet12.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tables/table1.xml><?xml version="1.0" encoding="utf-8"?>
<table xmlns="http://schemas.openxmlformats.org/spreadsheetml/2006/main" id="20" name="Submódulo2.2" displayName="Submódulo2.2" ref="A32:D41" totalsRowCount="1">
  <autoFilter ref="A32:D40"/>
  <tableColumns count="4">
    <tableColumn id="1" name="2.2" dataDxfId="0"/>
    <tableColumn id="2" name="GPS, FGTS e outras contribuições" dataDxfId="1"/>
    <tableColumn id="3" name="Percentual" dataDxfId="2"/>
    <tableColumn id="4" name="Valor " dataDxfId="3"/>
  </tableColumns>
  <tableStyleInfo showFirstColumn="0" showLastColumn="0" showRowStripes="1" showColumnStripes="0"/>
</table>
</file>

<file path=xl/tables/table10.xml><?xml version="1.0" encoding="utf-8"?>
<table xmlns="http://schemas.openxmlformats.org/spreadsheetml/2006/main" id="36" name="Table84238" displayName="Table84238" ref="A98:D100" totalsRowShown="0">
  <autoFilter ref="A98:D100"/>
  <tableColumns count="4">
    <tableColumn id="1" name="Item" dataDxfId="36"/>
    <tableColumn id="2" name="Rubrica" dataDxfId="37"/>
    <tableColumn id="3" name="Base de Cálculo" dataDxfId="38"/>
    <tableColumn id="4" name="Memória de Cálculo" dataDxfId="39"/>
  </tableColumns>
  <tableStyleInfo showFirstColumn="0" showLastColumn="0" showRowStripes="1" showColumnStripes="0"/>
</table>
</file>

<file path=xl/tables/table100.xml><?xml version="1.0" encoding="utf-8"?>
<table xmlns="http://schemas.openxmlformats.org/spreadsheetml/2006/main" id="50" name="ResumoPosto64_9010947451" displayName="ResumoPosto64_9010947451" ref="A139:D147" totalsRowShown="0">
  <autoFilter ref="A139:D147"/>
  <tableColumns count="4">
    <tableColumn id="1" name="Item" dataDxfId="396"/>
    <tableColumn id="2" name="Mão de obra vinculada à execução contratual" dataDxfId="397"/>
    <tableColumn id="3" name="-" dataDxfId="398"/>
    <tableColumn id="4" name="Valor" dataDxfId="399"/>
  </tableColumns>
  <tableStyleInfo showFirstColumn="0" showLastColumn="0" showRowStripes="1" showColumnStripes="0"/>
</table>
</file>

<file path=xl/tables/table101.xml><?xml version="1.0" encoding="utf-8"?>
<table xmlns="http://schemas.openxmlformats.org/spreadsheetml/2006/main" id="116" name="Submódulo2.356_793110168117" displayName="Submódulo2.356_793110168117" ref="A58:D65" totalsRowCount="1">
  <autoFilter ref="A58:D64"/>
  <tableColumns count="4">
    <tableColumn id="1" name="2.3" totalsRowLabel="Total" dataDxfId="400"/>
    <tableColumn id="2" name="Benefícios Mensais e Diários" dataDxfId="401"/>
    <tableColumn id="3" name="Comentário" dataDxfId="402"/>
    <tableColumn id="4" name="Valor" totalsRowFunction="custom">
      <totalsRowFormula>TRUNC((SUM(D59:D64)),2)</totalsRowFormula>
       dataDxfId="403"
    </tableColumn>
  </tableColumns>
  <tableStyleInfo showFirstColumn="0" showLastColumn="0" showRowStripes="1" showColumnStripes="0"/>
</table>
</file>

<file path=xl/tables/table102.xml><?xml version="1.0" encoding="utf-8"?>
<table xmlns="http://schemas.openxmlformats.org/spreadsheetml/2006/main" id="117" name="ResumoMódulo257_86309972118" displayName="ResumoMódulo257_86309972118" ref="A68:D72" totalsRowCount="1">
  <autoFilter ref="A68:D71"/>
  <tableColumns count="4">
    <tableColumn id="1" name="2" totalsRowLabel="Total" dataDxfId="404"/>
    <tableColumn id="2" name="Encargos e Benefícios Anuais, Mensais e Diários" dataDxfId="405"/>
    <tableColumn id="3" name="Comentário" dataDxfId="406"/>
    <tableColumn id="4" name="Valor" totalsRowFunction="custom">
      <totalsRowFormula>TRUNC(SUM(D69:D71),2)</totalsRowFormula>
       dataDxfId="407"
    </tableColumn>
  </tableColumns>
  <tableStyleInfo showFirstColumn="0" showLastColumn="0" showRowStripes="1" showColumnStripes="0"/>
</table>
</file>

<file path=xl/tables/table103.xml><?xml version="1.0" encoding="utf-8"?>
<table xmlns="http://schemas.openxmlformats.org/spreadsheetml/2006/main" id="90" name="Submódulo2.255_8916926691" displayName="Submódulo2.255_8916926691" ref="A46:D55" totalsRowCount="1">
  <autoFilter ref="A46:D54"/>
  <tableColumns count="4">
    <tableColumn id="1" name="2.2" totalsRowLabel="Total" dataDxfId="408"/>
    <tableColumn id="2" name="GPS, FGTS e outras contribuições" dataDxfId="409"/>
    <tableColumn id="3" name="Percentual" totalsRowFunction="custom">
      <totalsRowFormula>SUM(C47:C54)</totalsRowFormula>
       dataDxfId="410"
    </tableColumn>
    <tableColumn id="4" name="Valor " totalsRowFunction="custom">
      <totalsRowFormula>TRUNC((SUM(D47:D54)),2)</totalsRowFormula>
       dataDxfId="411"
    </tableColumn>
  </tableColumns>
  <tableStyleInfo showFirstColumn="0" showLastColumn="0" showRowStripes="1" showColumnStripes="0"/>
</table>
</file>

<file path=xl/tables/table104.xml><?xml version="1.0" encoding="utf-8"?>
<table xmlns="http://schemas.openxmlformats.org/spreadsheetml/2006/main" id="91" name="Módulo153_7828966792" displayName="Módulo153_7828966792" ref="A24:D31" totalsRowCount="1">
  <autoFilter ref="A24:D30"/>
  <tableColumns count="4">
    <tableColumn id="1" name="1" totalsRowLabel="Total" dataDxfId="412"/>
    <tableColumn id="2" name="Composição da Remuneração" dataDxfId="413"/>
    <tableColumn id="3" name="Comentário" dataDxfId="414"/>
    <tableColumn id="4" name="Valor" totalsRowFunction="custom">
      <totalsRowFormula>TRUNC(SUM(D25:D30),2)</totalsRowFormula>
       dataDxfId="415"
    </tableColumn>
  </tableColumns>
  <tableStyleInfo showFirstColumn="0" showLastColumn="0" showRowStripes="1" showColumnStripes="0"/>
</table>
</file>

<file path=xl/tables/table105.xml><?xml version="1.0" encoding="utf-8"?>
<table xmlns="http://schemas.openxmlformats.org/spreadsheetml/2006/main" id="92" name="Módulo562_8424917193" displayName="Módulo562_8424917193" ref="A112:D118" totalsRowCount="1">
  <autoFilter ref="A112:D117"/>
  <tableColumns count="4">
    <tableColumn id="1" name="5" totalsRowLabel="Total" dataDxfId="416"/>
    <tableColumn id="2" name="Insumos Diversos" dataDxfId="417"/>
    <tableColumn id="3" name="Comentário" dataDxfId="418"/>
    <tableColumn id="4" name="Valor" totalsRowFunction="custom">
      <totalsRowFormula>TRUNC(SUM((D113:D117)),2)</totalsRowFormula>
       dataDxfId="419"
    </tableColumn>
  </tableColumns>
  <tableStyleInfo showFirstColumn="0" showLastColumn="0" showRowStripes="1" showColumnStripes="0"/>
</table>
</file>

<file path=xl/tables/table106.xml><?xml version="1.0" encoding="utf-8"?>
<table xmlns="http://schemas.openxmlformats.org/spreadsheetml/2006/main" id="93" name="ResumoMódulo257_8630997294" displayName="ResumoMódulo257_8630997294" ref="A68:D72" totalsRowCount="1">
  <autoFilter ref="A68:D71"/>
  <tableColumns count="4">
    <tableColumn id="1" name="2" totalsRowLabel="Total" dataDxfId="420"/>
    <tableColumn id="2" name="Encargos e Benefícios Anuais, Mensais e Diários" dataDxfId="421"/>
    <tableColumn id="3" name="Comentário" dataDxfId="422"/>
    <tableColumn id="4" name="Valor" totalsRowFunction="custom">
      <totalsRowFormula>TRUNC(SUM(D69:D71),2)</totalsRowFormula>
       dataDxfId="423"
    </tableColumn>
  </tableColumns>
  <tableStyleInfo showFirstColumn="0" showLastColumn="0" showRowStripes="1" showColumnStripes="0"/>
</table>
</file>

<file path=xl/tables/table107.xml><?xml version="1.0" encoding="utf-8"?>
<table xmlns="http://schemas.openxmlformats.org/spreadsheetml/2006/main" id="94" name="Table452_82221007395" displayName="Table452_82221007395" ref="A16:D21" totalsRowShown="0">
  <tableColumns count="4">
    <tableColumn id="1" name="Item" dataDxfId="424"/>
    <tableColumn id="2" name="Descrição" dataDxfId="425"/>
    <tableColumn id="3" name="Comentário" dataDxfId="426"/>
    <tableColumn id="4" name="Valor" dataDxfId="427"/>
  </tableColumns>
  <tableStyleInfo showFirstColumn="0" showLastColumn="0" showRowStripes="1" showColumnStripes="0"/>
</table>
</file>

<file path=xl/tables/table108.xml><?xml version="1.0" encoding="utf-8"?>
<table xmlns="http://schemas.openxmlformats.org/spreadsheetml/2006/main" id="95" name="Submódulo2.356_79311016896" displayName="Submódulo2.356_79311016896" ref="A58:D65" totalsRowCount="1">
  <autoFilter ref="A58:D64"/>
  <tableColumns count="4">
    <tableColumn id="1" name="2.3" totalsRowLabel="Total" dataDxfId="428"/>
    <tableColumn id="2" name="Benefícios Mensais e Diários" dataDxfId="429"/>
    <tableColumn id="3" name="Comentário" dataDxfId="430"/>
    <tableColumn id="4" name="Valor" totalsRowFunction="custom">
      <totalsRowFormula>TRUNC((SUM(D59:D64)),2)</totalsRowFormula>
       dataDxfId="431"
    </tableColumn>
  </tableColumns>
  <tableStyleInfo showFirstColumn="0" showLastColumn="0" showRowStripes="1" showColumnStripes="0"/>
</table>
</file>

<file path=xl/tables/table109.xml><?xml version="1.0" encoding="utf-8"?>
<table xmlns="http://schemas.openxmlformats.org/spreadsheetml/2006/main" id="96" name="Submódulo4.260_81201026597" displayName="Submódulo4.260_81201026597" ref="A101:D103" totalsRowCount="1">
  <autoFilter ref="A101:D102"/>
  <tableColumns count="4">
    <tableColumn id="1" name="4.2" totalsRowLabel="Total" dataDxfId="432"/>
    <tableColumn id="2" name="Substituto na Intrajornada " dataDxfId="433"/>
    <tableColumn id="3" name="Comentário" dataDxfId="434"/>
    <tableColumn id="4" name="Valor" totalsRowFunction="custom">
      <totalsRowFormula>D102</totalsRowFormula>
       dataDxfId="435"
    </tableColumn>
  </tableColumns>
  <tableStyleInfo showFirstColumn="0" showLastColumn="0" showRowStripes="1" showColumnStripes="0"/>
</table>
</file>

<file path=xl/tables/table11.xml><?xml version="1.0" encoding="utf-8"?>
<table xmlns="http://schemas.openxmlformats.org/spreadsheetml/2006/main" id="37" name="Table8423851" displayName="Table8423851" ref="A122:D126" totalsRowShown="0">
  <autoFilter ref="A122:D126"/>
  <tableColumns count="4">
    <tableColumn id="1" name="Item" dataDxfId="40"/>
    <tableColumn id="2" name="Rubrica" dataDxfId="41"/>
    <tableColumn id="3" name="Base de Cálculo" dataDxfId="42"/>
    <tableColumn id="4" name="Memória de Cálculo" dataDxfId="43"/>
  </tableColumns>
  <tableStyleInfo showFirstColumn="0" showLastColumn="0" showRowStripes="1" showColumnStripes="0"/>
</table>
</file>

<file path=xl/tables/table110.xml><?xml version="1.0" encoding="utf-8"?>
<table xmlns="http://schemas.openxmlformats.org/spreadsheetml/2006/main" id="97" name="Submódulo4.159_8018986998" displayName="Submódulo4.159_8018986998" ref="A91:D98" totalsRowCount="1">
  <autoFilter ref="A91:D97"/>
  <tableColumns count="4">
    <tableColumn id="1" name="4.1" totalsRowLabel="Total" dataDxfId="436"/>
    <tableColumn id="2" name="Substituto nas Ausências Legais" dataDxfId="437"/>
    <tableColumn id="3" name="Percentual" totalsRowFunction="custom">
      <totalsRowFormula>SUM(C92:C97)</totalsRowFormula>
       dataDxfId="438"
    </tableColumn>
    <tableColumn id="4" name="Valor" totalsRowFunction="custom">
      <totalsRowFormula>TRUNC((SUM(D92:D97)),2)</totalsRowFormula>
       dataDxfId="439"
    </tableColumn>
  </tableColumns>
  <tableStyleInfo showFirstColumn="0" showLastColumn="0" showRowStripes="1" showColumnStripes="0"/>
</table>
</file>

<file path=xl/tables/table111.xml><?xml version="1.0" encoding="utf-8"?>
<table xmlns="http://schemas.openxmlformats.org/spreadsheetml/2006/main" id="98" name="Submódulo2.154_8712977099" displayName="Submódulo2.154_8712977099" ref="A36:D39" totalsRowCount="1">
  <autoFilter ref="A36:D38"/>
  <tableColumns count="4">
    <tableColumn id="1" name="2.1" totalsRowLabel="Total" dataDxfId="440"/>
    <tableColumn id="2" name="13º (décimo terceiro) Salário, Férias e Adicional de Férias" dataDxfId="441"/>
    <tableColumn id="3" name="Percentual" dataDxfId="442"/>
    <tableColumn id="4" name="Valor" totalsRowFunction="custom">
      <totalsRowFormula>TRUNC((SUM(D37:D38)),2)</totalsRowFormula>
       dataDxfId="443"
    </tableColumn>
  </tableColumns>
  <tableStyleInfo showFirstColumn="0" showLastColumn="0" showRowStripes="1" showColumnStripes="0"/>
</table>
</file>

<file path=xl/tables/table112.xml><?xml version="1.0" encoding="utf-8"?>
<table xmlns="http://schemas.openxmlformats.org/spreadsheetml/2006/main" id="99" name="ResumoPosto64_90109474100" displayName="ResumoPosto64_90109474100" ref="A139:D147" totalsRowShown="0">
  <autoFilter ref="A139:D147"/>
  <tableColumns count="4">
    <tableColumn id="1" name="Item" dataDxfId="444"/>
    <tableColumn id="2" name="Mão de obra vinculada à execução contratual" dataDxfId="445"/>
    <tableColumn id="3" name="-" dataDxfId="446"/>
    <tableColumn id="4" name="Valor" dataDxfId="447"/>
  </tableColumns>
  <tableStyleInfo showFirstColumn="0" showLastColumn="0" showRowStripes="1" showColumnStripes="0"/>
</table>
</file>

<file path=xl/tables/table113.xml><?xml version="1.0" encoding="utf-8"?>
<table xmlns="http://schemas.openxmlformats.org/spreadsheetml/2006/main" id="100" name="ResumoMódulo461_88149576101" displayName="ResumoMódulo461_88149576101" ref="A106:D109" totalsRowCount="1">
  <autoFilter ref="A106:D108"/>
  <tableColumns count="4">
    <tableColumn id="1" name="4" totalsRowLabel="Total" dataDxfId="448"/>
    <tableColumn id="2" name="Custo de Reposição do Profissional Ausente" dataDxfId="449"/>
    <tableColumn id="3" name="Comentário" totalsRowLabel="*Nota: Se o titular USUFRUIR do descanso intrajornada, o total é o somatório dos subitens 4.1 e 4.2" dataDxfId="450"/>
    <tableColumn id="4" name="Valor" totalsRowFunction="custom">
      <totalsRowFormula>TRUNC((SUM(D107:D108)),2)</totalsRowFormula>
       dataDxfId="451"
    </tableColumn>
  </tableColumns>
  <tableStyleInfo showFirstColumn="0" showLastColumn="0" showRowStripes="1" showColumnStripes="0"/>
</table>
</file>

<file path=xl/tables/table114.xml><?xml version="1.0" encoding="utf-8"?>
<table xmlns="http://schemas.openxmlformats.org/spreadsheetml/2006/main" id="101" name="Módulo358_832610375102" displayName="Módulo358_832610375102" ref="A75:D82" totalsRowCount="1">
  <autoFilter ref="A75:D81"/>
  <tableColumns count="4">
    <tableColumn id="1" name="3" totalsRowLabel="Total" dataDxfId="452"/>
    <tableColumn id="2" name="Provisão para Rescisão" dataDxfId="453"/>
    <tableColumn id="3" name="Percentual" totalsRowFunction="custom">
      <totalsRowFormula>SUM(C76:C81)</totalsRowFormula>
       dataDxfId="454"
    </tableColumn>
    <tableColumn id="4" name="Valor" totalsRowFunction="custom">
      <totalsRowFormula>TRUNC((SUM(D76:D81)),2)</totalsRowFormula>
       dataDxfId="455"
    </tableColumn>
  </tableColumns>
  <tableStyleInfo showFirstColumn="0" showLastColumn="0" showRowStripes="1" showColumnStripes="0"/>
</table>
</file>

<file path=xl/tables/table115.xml><?xml version="1.0" encoding="utf-8"?>
<table xmlns="http://schemas.openxmlformats.org/spreadsheetml/2006/main" id="102" name="Módulo663_85329377103" displayName="Módulo663_85329377103" ref="A128:D135" totalsRowCount="1">
  <tableColumns count="4">
    <tableColumn id="1" name="6" totalsRowLabel="Total" dataDxfId="456"/>
    <tableColumn id="2" name="Custos Indiretos, Tributos e Lucro" dataDxfId="457"/>
    <tableColumn id="3" name="Percentual" dataDxfId="458"/>
    <tableColumn id="4" name="Valor" totalsRowFunction="custom">
      <totalsRowFormula>TRUNC(SUM(D129:D131),2)</totalsRowFormula>
       dataDxfId="459"
    </tableColumn>
  </tableColumns>
  <tableStyleInfo showFirstColumn="0" showLastColumn="0" showRowStripes="1" showColumnStripes="0"/>
</table>
</file>

<file path=xl/tables/table116.xml><?xml version="1.0" encoding="utf-8"?>
<table xmlns="http://schemas.openxmlformats.org/spreadsheetml/2006/main" id="119" name="Table43_14365" displayName="Table43_14365" ref="A3:H10">
  <autoFilter ref="A3:H10"/>
  <tableColumns count="8">
    <tableColumn id="1" name="ITEM" totalsRowLabel="Total"/>
    <tableColumn id="2" name="PEÇA" dataDxfId="460"/>
    <tableColumn id="3" name="DESCRIÇÃO"/>
    <tableColumn id="4" name="UNIDADE" dataDxfId="461"/>
    <tableColumn id="5" name="VALOR MÉDIO UNITÁRIO (R$)"/>
    <tableColumn id="6" name="QUANTIDADE ANUAL"/>
    <tableColumn id="7" name="VALOR ANUAL POR EMPREGADO (R$)"/>
    <tableColumn id="8" name="VALOR MENSAL POR EMPREGADO (R$)" totalsRowFunction="sum"/>
  </tableColumns>
  <tableStyleInfo showFirstColumn="0" showLastColumn="0" showRowStripes="1" showColumnStripes="0"/>
</table>
</file>

<file path=xl/tables/table117.xml><?xml version="1.0" encoding="utf-8"?>
<table xmlns="http://schemas.openxmlformats.org/spreadsheetml/2006/main" id="120" name="Table43_143656667" displayName="Table43_143656667" ref="A16:H23">
  <autoFilter ref="A16:H23"/>
  <tableColumns count="8">
    <tableColumn id="1" name="ITEM" totalsRowLabel="Total"/>
    <tableColumn id="2" name="PEÇA" dataDxfId="462"/>
    <tableColumn id="3" name="DESCRIÇÃO"/>
    <tableColumn id="4" name="UNIDADE" dataDxfId="463"/>
    <tableColumn id="5" name="VALOR MÉDIO UNITÁRIO (R$)"/>
    <tableColumn id="6" name="QUANTIDADE ANUAL"/>
    <tableColumn id="7" name="VALOR ANUAL POR EMPREGADO (R$)"/>
    <tableColumn id="8" name="VALOR MENSAL POR EMPREGADO (R$)" totalsRowFunction="sum"/>
  </tableColumns>
  <tableStyleInfo showFirstColumn="0" showLastColumn="0" showRowStripes="1" showColumnStripes="0"/>
</table>
</file>

<file path=xl/tables/table118.xml><?xml version="1.0" encoding="utf-8"?>
<table xmlns="http://schemas.openxmlformats.org/spreadsheetml/2006/main" id="121" name="Table43_14368" displayName="Table43_14368" ref="A28:H35">
  <autoFilter ref="A28:H35"/>
  <tableColumns count="8">
    <tableColumn id="1" name="ITEM" totalsRowLabel="Total"/>
    <tableColumn id="2" name="PEÇA" dataDxfId="464"/>
    <tableColumn id="3" name="DESCRIÇÃO"/>
    <tableColumn id="4" name="UNIDADE" dataDxfId="465"/>
    <tableColumn id="5" name="VALOR MÉDIO UNITÁRIO (R$)"/>
    <tableColumn id="6" name="QUANTIDADE ANUAL"/>
    <tableColumn id="7" name="VALOR ANUAL POR EMPREGADO (R$)"/>
    <tableColumn id="8" name="VALOR MENSAL POR EMPREGADO (R$)" totalsRowFunction="sum"/>
  </tableColumns>
  <tableStyleInfo showFirstColumn="0" showLastColumn="0" showRowStripes="1" showColumnStripes="0"/>
</table>
</file>

<file path=xl/tables/table119.xml><?xml version="1.0" encoding="utf-8"?>
<table xmlns="http://schemas.openxmlformats.org/spreadsheetml/2006/main" id="5" name="Table43_2" displayName="Table43_2" ref="A2:G6" totalsRowCount="1">
  <autoFilter ref="A2:G5"/>
  <tableColumns count="7">
    <tableColumn id="1" name="Item" totalsRowLabel="Total"/>
    <tableColumn id="2" name="Peça"/>
    <tableColumn id="3" name="Descrição"/>
    <tableColumn id="4" name="Valor Médio Unitário (R$)"/>
    <tableColumn id="5" name="Quantidade Anual"/>
    <tableColumn id="6" name="Valor Anual/ Empregado (R$)"/>
    <tableColumn id="7" name="Valor Mensal/ Empregado" totalsRowFunction="sum"/>
  </tableColumns>
  <tableStyleInfo name="TableStyleMedium14" showFirstColumn="0" showLastColumn="0" showRowStripes="1" showColumnStripes="0"/>
</table>
</file>

<file path=xl/tables/table12.xml><?xml version="1.0" encoding="utf-8"?>
<table xmlns="http://schemas.openxmlformats.org/spreadsheetml/2006/main" id="103" name="Módulo358_57104" displayName="Módulo358_57104" ref="A75:D82" totalsRowCount="1">
  <autoFilter ref="A75:D81"/>
  <tableColumns count="4">
    <tableColumn id="1" name="3" totalsRowLabel="Total" dataDxfId="44"/>
    <tableColumn id="2" name="Provisão para Rescisão" dataDxfId="45"/>
    <tableColumn id="3" name="Percentual" totalsRowFunction="custom">
      <totalsRowFormula>SUM(C76:C81)</totalsRowFormula>
       dataDxfId="46"
    </tableColumn>
    <tableColumn id="4" name="Valor" totalsRowFunction="custom">
      <totalsRowFormula>TRUNC((SUM(D76:D81)),2)</totalsRowFormula>
       dataDxfId="47"
    </tableColumn>
  </tableColumns>
  <tableStyleInfo showFirstColumn="0" showLastColumn="0" showRowStripes="1" showColumnStripes="0"/>
</table>
</file>

<file path=xl/tables/table120.xml><?xml version="1.0" encoding="utf-8"?>
<table xmlns="http://schemas.openxmlformats.org/spreadsheetml/2006/main" id="118" name="Table44" displayName="Table44" ref="A98:F119" totalsRowCount="1">
  <autoFilter ref="A98:F118"/>
  <tableColumns count="6">
    <tableColumn id="1" name="ITEM" totalsRowLabel="Total"/>
    <tableColumn id="2" name="DESCRIÇÃO"/>
    <tableColumn id="3" name="UNIDADE"/>
    <tableColumn id="4" name="QUANTIDADE"/>
    <tableColumn id="5" name="VALOR UNITÁRIO"/>
    <tableColumn id="6" name="VALOR TOTAL" totalsRowFunction="sum"/>
  </tableColumns>
  <tableStyleInfo name="TableStyleMedium14" showFirstColumn="0" showLastColumn="0" showRowStripes="1" showColumnStripes="0"/>
</table>
</file>

<file path=xl/tables/table121.xml><?xml version="1.0" encoding="utf-8"?>
<table xmlns="http://schemas.openxmlformats.org/spreadsheetml/2006/main" id="7" name="Table39" displayName="Table39" ref="A2:G12" totalsRowCount="1">
  <tableColumns count="7">
    <tableColumn id="1" name="Item" totalsRowLabel="TOTAL" dataDxfId="466"/>
    <tableColumn id="2" name="Descrição" dataDxfId="467"/>
    <tableColumn id="7" name="Unidade" dataDxfId="468"/>
    <tableColumn id="3" name="Quantidade" dataDxfId="469"/>
    <tableColumn id="6" name="VIGÊNCIA " dataDxfId="470"/>
    <tableColumn id="4" name="VALOR UNITÁRIO MÁXIMO ACEITÁVEL" dataDxfId="471"/>
    <tableColumn id="5" name="VALOR TOTAL MÁXIMO ACEITÁVEL" totalsRowFunction="custom">
      <totalsRowFormula>SUM(G3:G11)</totalsRowFormula>
       dataDxfId="472"
    </tableColumn>
  </tableColumns>
  <tableStyleInfo name="TableStyleMedium14" showFirstColumn="0" showLastColumn="0" showRowStripes="1" showColumnStripes="0"/>
</table>
</file>

<file path=xl/tables/table13.xml><?xml version="1.0" encoding="utf-8"?>
<table xmlns="http://schemas.openxmlformats.org/spreadsheetml/2006/main" id="104" name="Módulo663_59105" displayName="Módulo663_59105" ref="A128:D135" totalsRowCount="1">
  <tableColumns count="4">
    <tableColumn id="1" name="6" totalsRowLabel="Total" dataDxfId="48"/>
    <tableColumn id="2" name="Custos Indiretos, Tributos e Lucro" dataDxfId="49"/>
    <tableColumn id="3" name="Percentual" dataDxfId="50"/>
    <tableColumn id="4" name="Valor" totalsRowFunction="custom">
      <totalsRowFormula>SUM(D129:D131)</totalsRowFormula>
       dataDxfId="51"
    </tableColumn>
  </tableColumns>
  <tableStyleInfo showFirstColumn="0" showLastColumn="0" showRowStripes="1" showColumnStripes="0"/>
</table>
</file>

<file path=xl/tables/table14.xml><?xml version="1.0" encoding="utf-8"?>
<table xmlns="http://schemas.openxmlformats.org/spreadsheetml/2006/main" id="105" name="Table452_56106" displayName="Table452_56106" ref="A16:D21" totalsRowShown="0">
  <tableColumns count="4">
    <tableColumn id="1" name="Item" dataDxfId="52"/>
    <tableColumn id="2" name="Descrição" dataDxfId="53"/>
    <tableColumn id="3" name="Comentário" dataDxfId="54"/>
    <tableColumn id="4" name="Valor" dataDxfId="55"/>
  </tableColumns>
  <tableStyleInfo showFirstColumn="0" showLastColumn="0" showRowStripes="1" showColumnStripes="0"/>
</table>
</file>

<file path=xl/tables/table15.xml><?xml version="1.0" encoding="utf-8"?>
<table xmlns="http://schemas.openxmlformats.org/spreadsheetml/2006/main" id="106" name="Submódulo4.260_55107" displayName="Submódulo4.260_55107" ref="A101:D103" totalsRowCount="1">
  <autoFilter ref="A101:D102"/>
  <tableColumns count="4">
    <tableColumn id="1" name="4.2" totalsRowLabel="Total" dataDxfId="56"/>
    <tableColumn id="2" name="Substituto na Intrajornada " dataDxfId="57"/>
    <tableColumn id="3" name="Comentário" dataDxfId="58"/>
    <tableColumn id="4" name="Valor" totalsRowFunction="custom">
      <totalsRowFormula>D102</totalsRowFormula>
       dataDxfId="59"
    </tableColumn>
  </tableColumns>
  <tableStyleInfo showFirstColumn="0" showLastColumn="0" showRowStripes="1" showColumnStripes="0"/>
</table>
</file>

<file path=xl/tables/table16.xml><?xml version="1.0" encoding="utf-8"?>
<table xmlns="http://schemas.openxmlformats.org/spreadsheetml/2006/main" id="107" name="ResumoPosto64_64108" displayName="ResumoPosto64_64108" ref="A139:D147" totalsRowShown="0">
  <autoFilter ref="A139:D147"/>
  <tableColumns count="4">
    <tableColumn id="1" name="Item" dataDxfId="60"/>
    <tableColumn id="2" name="Mão de obra vinculada à execução contratual" dataDxfId="61"/>
    <tableColumn id="3" name="-" dataDxfId="62"/>
    <tableColumn id="4" name="Valor" dataDxfId="63"/>
  </tableColumns>
  <tableStyleInfo showFirstColumn="0" showLastColumn="0" showRowStripes="1" showColumnStripes="0"/>
</table>
</file>

<file path=xl/tables/table17.xml><?xml version="1.0" encoding="utf-8"?>
<table xmlns="http://schemas.openxmlformats.org/spreadsheetml/2006/main" id="108" name="Módulo153_52109" displayName="Módulo153_52109" ref="A24:D31" totalsRowCount="1">
  <autoFilter ref="A24:D30"/>
  <tableColumns count="4">
    <tableColumn id="1" name="1" totalsRowLabel="Total" dataDxfId="64"/>
    <tableColumn id="2" name="Composição da Remuneração" dataDxfId="65"/>
    <tableColumn id="3" name="Comentário" dataDxfId="66"/>
    <tableColumn id="4" name="Valor" totalsRowFunction="custom">
      <totalsRowFormula>TRUNC((SUM(D25:D30)),2)</totalsRowFormula>
       dataDxfId="67"
    </tableColumn>
  </tableColumns>
  <tableStyleInfo showFirstColumn="0" showLastColumn="0" showRowStripes="1" showColumnStripes="0"/>
</table>
</file>

<file path=xl/tables/table18.xml><?xml version="1.0" encoding="utf-8"?>
<table xmlns="http://schemas.openxmlformats.org/spreadsheetml/2006/main" id="109" name="Submódulo4.159_54110" displayName="Submódulo4.159_54110" ref="A91:D98" totalsRowCount="1">
  <autoFilter ref="A91:D97"/>
  <tableColumns count="4">
    <tableColumn id="1" name="4.1" totalsRowLabel="Total" dataDxfId="68"/>
    <tableColumn id="2" name="Substituto nas Ausências Legais" dataDxfId="69"/>
    <tableColumn id="3" name="Percentual" totalsRowFunction="custom">
      <totalsRowFormula>SUM(C92:C97)</totalsRowFormula>
       dataDxfId="70"
    </tableColumn>
    <tableColumn id="4" name="Valor" totalsRowFunction="custom">
      <totalsRowFormula>TRUNC((SUM(D92:D97)),2)</totalsRowFormula>
       dataDxfId="71"
    </tableColumn>
  </tableColumns>
  <tableStyleInfo showFirstColumn="0" showLastColumn="0" showRowStripes="1" showColumnStripes="0"/>
</table>
</file>

<file path=xl/tables/table19.xml><?xml version="1.0" encoding="utf-8"?>
<table xmlns="http://schemas.openxmlformats.org/spreadsheetml/2006/main" id="110" name="Submódulo2.154_61111" displayName="Submódulo2.154_61111" ref="A36:D39" totalsRowCount="1">
  <autoFilter ref="A36:D38"/>
  <tableColumns count="4">
    <tableColumn id="1" name="2.1" totalsRowLabel="Total" dataDxfId="72"/>
    <tableColumn id="2" name="13º (décimo terceiro) Salário, Férias e Adicional de Férias" dataDxfId="73"/>
    <tableColumn id="3" name="Percentual" dataDxfId="74"/>
    <tableColumn id="4" name="Valor" totalsRowFunction="custom">
      <totalsRowFormula>TRUNC((SUM(D37:D38)),2)</totalsRowFormula>
       dataDxfId="75"
    </tableColumn>
  </tableColumns>
  <tableStyleInfo showFirstColumn="0" showLastColumn="0" showRowStripes="1" showColumnStripes="0"/>
</table>
</file>

<file path=xl/tables/table2.xml><?xml version="1.0" encoding="utf-8"?>
<table xmlns="http://schemas.openxmlformats.org/spreadsheetml/2006/main" id="22" name="Submódulo2.3" displayName="Submódulo2.3" ref="A48:D53" totalsRowCount="1">
  <autoFilter ref="A48:D52"/>
  <tableColumns count="4">
    <tableColumn id="1" name="2.3" dataDxfId="4"/>
    <tableColumn id="2" name="Benefícios Mensais e Diários" dataDxfId="5"/>
    <tableColumn id="3" name="Comentário" dataDxfId="6"/>
    <tableColumn id="4" name="Valor" dataDxfId="7"/>
  </tableColumns>
  <tableStyleInfo showFirstColumn="0" showLastColumn="0" showRowStripes="1" showColumnStripes="0"/>
</table>
</file>

<file path=xl/tables/table20.xml><?xml version="1.0" encoding="utf-8"?>
<table xmlns="http://schemas.openxmlformats.org/spreadsheetml/2006/main" id="111" name="Submódulo2.356_53112" displayName="Submódulo2.356_53112" ref="A58:D65" totalsRowCount="1">
  <autoFilter ref="A58:D64"/>
  <tableColumns count="4">
    <tableColumn id="1" name="2.3" totalsRowLabel="Total" dataDxfId="76"/>
    <tableColumn id="2" name="Benefícios Mensais e Diários" dataDxfId="77"/>
    <tableColumn id="3" name="Comentário" dataDxfId="78"/>
    <tableColumn id="4" name="Valor" totalsRowFunction="custom">
      <totalsRowFormula>TRUNC((SUM(D59:D64)),2)</totalsRowFormula>
       dataDxfId="79"
    </tableColumn>
  </tableColumns>
  <tableStyleInfo showFirstColumn="0" showLastColumn="0" showRowStripes="1" showColumnStripes="0"/>
</table>
</file>

<file path=xl/tables/table21.xml><?xml version="1.0" encoding="utf-8"?>
<table xmlns="http://schemas.openxmlformats.org/spreadsheetml/2006/main" id="112" name="ResumoMódulo257_60113" displayName="ResumoMódulo257_60113" ref="A68:D72" totalsRowCount="1">
  <autoFilter ref="A68:D71"/>
  <tableColumns count="4">
    <tableColumn id="1" name="2" totalsRowLabel="Total" dataDxfId="80"/>
    <tableColumn id="2" name="Encargos e Benefícios Anuais, Mensais e Diários" dataDxfId="81"/>
    <tableColumn id="3" name="Comentário" dataDxfId="82"/>
    <tableColumn id="4" name="Valor" totalsRowFunction="custom">
      <totalsRowFormula>TRUNC((SUM(D69:D71)),2)</totalsRowFormula>
       dataDxfId="83"
    </tableColumn>
  </tableColumns>
  <tableStyleInfo showFirstColumn="0" showLastColumn="0" showRowStripes="1" showColumnStripes="0"/>
</table>
</file>

<file path=xl/tables/table22.xml><?xml version="1.0" encoding="utf-8"?>
<table xmlns="http://schemas.openxmlformats.org/spreadsheetml/2006/main" id="113" name="Submódulo2.255_63114" displayName="Submódulo2.255_63114" ref="A46:D55" totalsRowCount="1">
  <autoFilter ref="A46:D54"/>
  <tableColumns count="4">
    <tableColumn id="1" name="2.2" totalsRowLabel="Total" dataDxfId="84"/>
    <tableColumn id="2" name="GPS, FGTS e outras contribuições" dataDxfId="85"/>
    <tableColumn id="3" name="Percentual" totalsRowFunction="custom">
      <totalsRowFormula>SUM(C47:C54)</totalsRowFormula>
       dataDxfId="86"
    </tableColumn>
    <tableColumn id="4" name="Valor " totalsRowFunction="custom">
      <totalsRowFormula>TRUNC(SUM(D47:D54),2)</totalsRowFormula>
       dataDxfId="87"
    </tableColumn>
  </tableColumns>
  <tableStyleInfo showFirstColumn="0" showLastColumn="0" showRowStripes="1" showColumnStripes="0"/>
</table>
</file>

<file path=xl/tables/table23.xml><?xml version="1.0" encoding="utf-8"?>
<table xmlns="http://schemas.openxmlformats.org/spreadsheetml/2006/main" id="114" name="ResumoMódulo461_62115" displayName="ResumoMódulo461_62115" ref="A106:D109" totalsRowCount="1">
  <autoFilter ref="A106:D108"/>
  <tableColumns count="4">
    <tableColumn id="1" name="4" totalsRowLabel="Total" dataDxfId="88"/>
    <tableColumn id="2" name="Custo de Reposição do Profissional Ausente" dataDxfId="89"/>
    <tableColumn id="3" name="Comentário" totalsRowLabel="*Nota: Se o titular USUFRUIR do descanso intrajornada, o total é o somatório dos subitens 4.1 e 4.2" dataDxfId="90"/>
    <tableColumn id="4" name="Valor" totalsRowFunction="custom">
      <totalsRowFormula>TRUNC((SUM(D107:D108)),2)</totalsRowFormula>
       dataDxfId="91"
    </tableColumn>
  </tableColumns>
  <tableStyleInfo showFirstColumn="0" showLastColumn="0" showRowStripes="1" showColumnStripes="0"/>
</table>
</file>

<file path=xl/tables/table24.xml><?xml version="1.0" encoding="utf-8"?>
<table xmlns="http://schemas.openxmlformats.org/spreadsheetml/2006/main" id="115" name="Módulo562_58116" displayName="Módulo562_58116" ref="A112:D118" totalsRowCount="1">
  <autoFilter ref="A112:D117"/>
  <tableColumns count="4">
    <tableColumn id="1" name="5" totalsRowLabel="Total" dataDxfId="92"/>
    <tableColumn id="2" name="Insumos Diversos" dataDxfId="93"/>
    <tableColumn id="3" name="Comentário" dataDxfId="94"/>
    <tableColumn id="4" name="Valor" totalsRowFunction="custom">
      <totalsRowFormula>TRUNC(SUM(D113:D117),2)</totalsRowFormula>
       dataDxfId="95"
    </tableColumn>
  </tableColumns>
  <tableStyleInfo showFirstColumn="0" showLastColumn="0" showRowStripes="1" showColumnStripes="0"/>
</table>
</file>

<file path=xl/tables/table25.xml><?xml version="1.0" encoding="utf-8"?>
<table xmlns="http://schemas.openxmlformats.org/spreadsheetml/2006/main" id="1" name="Submódulo2.356_53" displayName="Submódulo2.356_53" ref="A58:D65" totalsRowCount="1">
  <autoFilter ref="A58:D64"/>
  <tableColumns count="4">
    <tableColumn id="1" name="2.3" totalsRowLabel="Total" dataDxfId="96"/>
    <tableColumn id="2" name="Benefícios Mensais e Diários" dataDxfId="97"/>
    <tableColumn id="3" name="Comentário" dataDxfId="98"/>
    <tableColumn id="4" name="Valor" totalsRowFunction="custom">
      <totalsRowFormula>TRUNC((SUM(D59:D64)),2)</totalsRowFormula>
       dataDxfId="99"
    </tableColumn>
  </tableColumns>
  <tableStyleInfo showFirstColumn="0" showLastColumn="0" showRowStripes="1" showColumnStripes="0"/>
</table>
</file>

<file path=xl/tables/table26.xml><?xml version="1.0" encoding="utf-8"?>
<table xmlns="http://schemas.openxmlformats.org/spreadsheetml/2006/main" id="2" name="ResumoPosto64_64" displayName="ResumoPosto64_64" ref="A139:D148" totalsRowShown="0">
  <autoFilter ref="A139:D148"/>
  <tableColumns count="4">
    <tableColumn id="1" name="Item" dataDxfId="100"/>
    <tableColumn id="2" name="Mão de obra vinculada à execução contratual" dataDxfId="101"/>
    <tableColumn id="3" name="-" dataDxfId="102"/>
    <tableColumn id="4" name="Valor" dataDxfId="103"/>
  </tableColumns>
  <tableStyleInfo showFirstColumn="0" showLastColumn="0" showRowStripes="1" showColumnStripes="0"/>
</table>
</file>

<file path=xl/tables/table27.xml><?xml version="1.0" encoding="utf-8"?>
<table xmlns="http://schemas.openxmlformats.org/spreadsheetml/2006/main" id="3" name="Submódulo2.255_63" displayName="Submódulo2.255_63" ref="A46:D55" totalsRowCount="1">
  <autoFilter ref="A46:D54"/>
  <tableColumns count="4">
    <tableColumn id="1" name="2.2" totalsRowLabel="Total" dataDxfId="104"/>
    <tableColumn id="2" name="GPS, FGTS e outras contribuições" dataDxfId="105"/>
    <tableColumn id="3" name="Percentual" totalsRowFunction="custom">
      <totalsRowFormula>SUM(C47:C54)</totalsRowFormula>
       dataDxfId="106"
    </tableColumn>
    <tableColumn id="4" name="Valor " totalsRowFunction="custom">
      <totalsRowFormula>TRUNC((SUM(D47:D54)),2)</totalsRowFormula>
       dataDxfId="107"
    </tableColumn>
  </tableColumns>
  <tableStyleInfo showFirstColumn="0" showLastColumn="0" showRowStripes="1" showColumnStripes="0"/>
</table>
</file>

<file path=xl/tables/table28.xml><?xml version="1.0" encoding="utf-8"?>
<table xmlns="http://schemas.openxmlformats.org/spreadsheetml/2006/main" id="4" name="Submódulo2.154_61" displayName="Submódulo2.154_61" ref="A36:D39" totalsRowCount="1">
  <autoFilter ref="A36:D38"/>
  <tableColumns count="4">
    <tableColumn id="1" name="2.1" totalsRowLabel="Total" dataDxfId="108"/>
    <tableColumn id="2" name="13º (décimo terceiro) Salário, Férias e Adicional de Férias" dataDxfId="109"/>
    <tableColumn id="3" name="Percentual" dataDxfId="110"/>
    <tableColumn id="4" name="Valor" totalsRowFunction="custom">
      <totalsRowFormula>TRUNC((SUM(D37:D38)),2)</totalsRowFormula>
       dataDxfId="111"
    </tableColumn>
  </tableColumns>
  <tableStyleInfo showFirstColumn="0" showLastColumn="0" showRowStripes="1" showColumnStripes="0"/>
</table>
</file>

<file path=xl/tables/table29.xml><?xml version="1.0" encoding="utf-8"?>
<table xmlns="http://schemas.openxmlformats.org/spreadsheetml/2006/main" id="6" name="Módulo153_52" displayName="Módulo153_52" ref="A24:D31" totalsRowCount="1">
  <autoFilter ref="A24:D30"/>
  <tableColumns count="4">
    <tableColumn id="1" name="1" totalsRowLabel="Total" dataDxfId="112"/>
    <tableColumn id="2" name="Composição da Remuneração" dataDxfId="113"/>
    <tableColumn id="3" name="Comentário" dataDxfId="114"/>
    <tableColumn id="4" name="Valor" totalsRowFunction="custom">
      <totalsRowFormula>TRUNC((SUM(D25:D30)),2)</totalsRowFormula>
       dataDxfId="115"
    </tableColumn>
  </tableColumns>
  <tableStyleInfo showFirstColumn="0" showLastColumn="0" showRowStripes="1" showColumnStripes="0"/>
</table>
</file>

<file path=xl/tables/table3.xml><?xml version="1.0" encoding="utf-8"?>
<table xmlns="http://schemas.openxmlformats.org/spreadsheetml/2006/main" id="24" name="Submódulo4.1" displayName="Submódulo4.1" ref="A88:D95" totalsRowCount="1">
  <autoFilter ref="A88:D94"/>
  <tableColumns count="4">
    <tableColumn id="1" name="4.1" dataDxfId="8"/>
    <tableColumn id="2" name="Substituto nas Ausências Legais" dataDxfId="9"/>
    <tableColumn id="3" name="Dias de ausência" dataDxfId="10"/>
    <tableColumn id="4" name="Valor" dataDxfId="11"/>
  </tableColumns>
  <tableStyleInfo showFirstColumn="0" showLastColumn="0" showRowStripes="1" showColumnStripes="0"/>
</table>
</file>

<file path=xl/tables/table30.xml><?xml version="1.0" encoding="utf-8"?>
<table xmlns="http://schemas.openxmlformats.org/spreadsheetml/2006/main" id="8" name="ResumoMódulo461_62" displayName="ResumoMódulo461_62" ref="A106:D109" totalsRowCount="1">
  <autoFilter ref="A106:D108"/>
  <tableColumns count="4">
    <tableColumn id="1" name="4" totalsRowLabel="Total" dataDxfId="116"/>
    <tableColumn id="2" name="Custo de Reposição do Profissional Ausente" dataDxfId="117"/>
    <tableColumn id="3" name="Comentário" totalsRowLabel="*Nota: Se o titular USUFRUIR do descanso intrajornada, o total é o somatório dos subitens 4.1 e 4.2" dataDxfId="118"/>
    <tableColumn id="4" name="Valor" totalsRowFunction="custom">
      <totalsRowFormula>TRUNC((SUM(D107:D108)),2)</totalsRowFormula>
       dataDxfId="119"
    </tableColumn>
  </tableColumns>
  <tableStyleInfo showFirstColumn="0" showLastColumn="0" showRowStripes="1" showColumnStripes="0"/>
</table>
</file>

<file path=xl/tables/table31.xml><?xml version="1.0" encoding="utf-8"?>
<table xmlns="http://schemas.openxmlformats.org/spreadsheetml/2006/main" id="10" name="ResumoMódulo257_60" displayName="ResumoMódulo257_60" ref="A68:D72" totalsRowCount="1">
  <autoFilter ref="A68:D71"/>
  <tableColumns count="4">
    <tableColumn id="1" name="2" totalsRowLabel="Total" dataDxfId="120"/>
    <tableColumn id="2" name="Encargos e Benefícios Anuais, Mensais e Diários" dataDxfId="121"/>
    <tableColumn id="3" name="Comentário" dataDxfId="122"/>
    <tableColumn id="4" name="Valor" totalsRowFunction="custom">
      <totalsRowFormula>TRUNC((SUM(D69:D71)),2)</totalsRowFormula>
       dataDxfId="123"
    </tableColumn>
  </tableColumns>
  <tableStyleInfo showFirstColumn="0" showLastColumn="0" showRowStripes="1" showColumnStripes="0"/>
</table>
</file>

<file path=xl/tables/table32.xml><?xml version="1.0" encoding="utf-8"?>
<table xmlns="http://schemas.openxmlformats.org/spreadsheetml/2006/main" id="12" name="Módulo663_59" displayName="Módulo663_59" ref="A128:D135" totalsRowCount="1">
  <tableColumns count="4">
    <tableColumn id="1" name="6" totalsRowLabel="Total" dataDxfId="124"/>
    <tableColumn id="2" name="Custos Indiretos, Tributos e Lucro" dataDxfId="125"/>
    <tableColumn id="3" name="Percentual" dataDxfId="126"/>
    <tableColumn id="4" name="Valor" totalsRowFunction="custom">
      <totalsRowFormula>TRUNC(SUM(D129:D131),2)</totalsRowFormula>
       dataDxfId="127"
    </tableColumn>
  </tableColumns>
  <tableStyleInfo showFirstColumn="0" showLastColumn="0" showRowStripes="1" showColumnStripes="0"/>
</table>
</file>

<file path=xl/tables/table33.xml><?xml version="1.0" encoding="utf-8"?>
<table xmlns="http://schemas.openxmlformats.org/spreadsheetml/2006/main" id="14" name="Submódulo4.159_54" displayName="Submódulo4.159_54" ref="A91:D98" totalsRowCount="1">
  <autoFilter ref="A91:D97"/>
  <tableColumns count="4">
    <tableColumn id="1" name="4.1" totalsRowLabel="Total" dataDxfId="128"/>
    <tableColumn id="2" name="Substituto nas Ausências Legais" dataDxfId="129"/>
    <tableColumn id="3" name="Percentual" totalsRowFunction="custom">
      <totalsRowFormula>SUM(C92:C97)</totalsRowFormula>
       dataDxfId="130"
    </tableColumn>
    <tableColumn id="4" name="Valor" totalsRowFunction="custom">
      <totalsRowFormula>TRUNC((SUM(D92:D97)),2)</totalsRowFormula>
       dataDxfId="131"
    </tableColumn>
  </tableColumns>
  <tableStyleInfo showFirstColumn="0" showLastColumn="0" showRowStripes="1" showColumnStripes="0"/>
</table>
</file>

<file path=xl/tables/table34.xml><?xml version="1.0" encoding="utf-8"?>
<table xmlns="http://schemas.openxmlformats.org/spreadsheetml/2006/main" id="16" name="Submódulo4.260_55" displayName="Submódulo4.260_55" ref="A101:D103" totalsRowCount="1">
  <autoFilter ref="A101:D102"/>
  <tableColumns count="4">
    <tableColumn id="1" name="4.2" totalsRowLabel="Total" dataDxfId="132"/>
    <tableColumn id="2" name="Substituto na Intrajornada " dataDxfId="133"/>
    <tableColumn id="3" name="Comentário" dataDxfId="134"/>
    <tableColumn id="4" name="Valor" totalsRowFunction="custom">
      <totalsRowFormula>D102</totalsRowFormula>
       dataDxfId="135"
    </tableColumn>
  </tableColumns>
  <tableStyleInfo showFirstColumn="0" showLastColumn="0" showRowStripes="1" showColumnStripes="0"/>
</table>
</file>

<file path=xl/tables/table35.xml><?xml version="1.0" encoding="utf-8"?>
<table xmlns="http://schemas.openxmlformats.org/spreadsheetml/2006/main" id="18" name="Table452_56" displayName="Table452_56" ref="A16:D21" totalsRowShown="0">
  <tableColumns count="4">
    <tableColumn id="1" name="Item" dataDxfId="136"/>
    <tableColumn id="2" name="Descrição" dataDxfId="137"/>
    <tableColumn id="3" name="Comentário" dataDxfId="138"/>
    <tableColumn id="4" name="Valor" dataDxfId="139"/>
  </tableColumns>
  <tableStyleInfo showFirstColumn="0" showLastColumn="0" showRowStripes="1" showColumnStripes="0"/>
</table>
</file>

<file path=xl/tables/table36.xml><?xml version="1.0" encoding="utf-8"?>
<table xmlns="http://schemas.openxmlformats.org/spreadsheetml/2006/main" id="38" name="Módulo358_57" displayName="Módulo358_57" ref="A75:D82" totalsRowCount="1">
  <autoFilter ref="A75:D81"/>
  <tableColumns count="4">
    <tableColumn id="1" name="3" totalsRowLabel="Total" dataDxfId="140"/>
    <tableColumn id="2" name="Provisão para Rescisão" dataDxfId="141"/>
    <tableColumn id="3" name="Percentual" totalsRowFunction="custom">
      <totalsRowFormula>SUM(C76:C81)</totalsRowFormula>
       dataDxfId="142"
    </tableColumn>
    <tableColumn id="4" name="Valor" totalsRowFunction="custom">
      <totalsRowFormula>TRUNC((SUM(D76:D81)),2)</totalsRowFormula>
       dataDxfId="143"
    </tableColumn>
  </tableColumns>
  <tableStyleInfo showFirstColumn="0" showLastColumn="0" showRowStripes="1" showColumnStripes="0"/>
</table>
</file>

<file path=xl/tables/table37.xml><?xml version="1.0" encoding="utf-8"?>
<table xmlns="http://schemas.openxmlformats.org/spreadsheetml/2006/main" id="39" name="Módulo562_58" displayName="Módulo562_58" ref="A112:D118" totalsRowCount="1">
  <autoFilter ref="A112:D117"/>
  <tableColumns count="4">
    <tableColumn id="1" name="5" totalsRowLabel="Total" dataDxfId="144"/>
    <tableColumn id="2" name="Insumos Diversos" dataDxfId="145"/>
    <tableColumn id="3" name="Comentário" dataDxfId="146"/>
    <tableColumn id="4" name="Valor" totalsRowFunction="custom">
      <totalsRowFormula>TRUNC(SUM(D113:D117),2)</totalsRowFormula>
       dataDxfId="147"
    </tableColumn>
  </tableColumns>
  <tableStyleInfo showFirstColumn="0" showLastColumn="0" showRowStripes="1" showColumnStripes="0"/>
</table>
</file>

<file path=xl/tables/table38.xml><?xml version="1.0" encoding="utf-8"?>
<table xmlns="http://schemas.openxmlformats.org/spreadsheetml/2006/main" id="77" name="Módulo153_78" displayName="Módulo153_78" ref="A24:D31" totalsRowCount="1">
  <autoFilter ref="A24:D30"/>
  <tableColumns count="4">
    <tableColumn id="1" name="1" totalsRowLabel="Total" dataDxfId="148"/>
    <tableColumn id="2" name="Composição da Remuneração" dataDxfId="149"/>
    <tableColumn id="3" name="Comentário" dataDxfId="150"/>
    <tableColumn id="4" name="Valor" totalsRowFunction="custom">
      <totalsRowFormula>TRUNC(SUM(D25:D30),2)</totalsRowFormula>
       dataDxfId="151"
    </tableColumn>
  </tableColumns>
  <tableStyleInfo showFirstColumn="0" showLastColumn="0" showRowStripes="1" showColumnStripes="0"/>
</table>
</file>

<file path=xl/tables/table39.xml><?xml version="1.0" encoding="utf-8"?>
<table xmlns="http://schemas.openxmlformats.org/spreadsheetml/2006/main" id="78" name="Submódulo2.356_79" displayName="Submódulo2.356_79" ref="A58:D65" totalsRowCount="1">
  <autoFilter ref="A58:D64"/>
  <tableColumns count="4">
    <tableColumn id="1" name="2.3" totalsRowLabel="Total" dataDxfId="152"/>
    <tableColumn id="2" name="Benefícios Mensais e Diários" dataDxfId="153"/>
    <tableColumn id="3" name="Comentário" dataDxfId="154"/>
    <tableColumn id="4" name="Valor" totalsRowFunction="custom">
      <totalsRowFormula>TRUNC((SUM(D59:D64)),2)</totalsRowFormula>
       dataDxfId="155"
    </tableColumn>
  </tableColumns>
  <tableStyleInfo showFirstColumn="0" showLastColumn="0" showRowStripes="1" showColumnStripes="0"/>
</table>
</file>

<file path=xl/tables/table4.xml><?xml version="1.0" encoding="utf-8"?>
<table xmlns="http://schemas.openxmlformats.org/spreadsheetml/2006/main" id="26" name="Submódulo4.2" displayName="Submódulo4.2" ref="A103:D105" totalsRowCount="1">
  <autoFilter ref="A103:D104"/>
  <tableColumns count="4">
    <tableColumn id="1" name="4.2" dataDxfId="12"/>
    <tableColumn id="2" name="Substituto na Intrajornada " dataDxfId="13"/>
    <tableColumn id="3" name="Comentário" dataDxfId="14"/>
    <tableColumn id="4" name="Valor" dataDxfId="15"/>
  </tableColumns>
  <tableStyleInfo showFirstColumn="0" showLastColumn="0" showRowStripes="1" showColumnStripes="0"/>
</table>
</file>

<file path=xl/tables/table40.xml><?xml version="1.0" encoding="utf-8"?>
<table xmlns="http://schemas.openxmlformats.org/spreadsheetml/2006/main" id="79" name="Submódulo4.159_80" displayName="Submódulo4.159_80" ref="A91:D98" totalsRowCount="1">
  <autoFilter ref="A91:D97"/>
  <tableColumns count="4">
    <tableColumn id="1" name="4.1" totalsRowLabel="Total" dataDxfId="156"/>
    <tableColumn id="2" name="Substituto nas Ausências Legais" dataDxfId="157"/>
    <tableColumn id="3" name="Percentual" totalsRowFunction="custom">
      <totalsRowFormula>SUM(C92:C97)</totalsRowFormula>
       dataDxfId="158"
    </tableColumn>
    <tableColumn id="4" name="Valor" totalsRowFunction="custom">
      <totalsRowFormula>TRUNC((SUM(D92:D97)),2)</totalsRowFormula>
       dataDxfId="159"
    </tableColumn>
  </tableColumns>
  <tableStyleInfo showFirstColumn="0" showLastColumn="0" showRowStripes="1" showColumnStripes="0"/>
</table>
</file>

<file path=xl/tables/table41.xml><?xml version="1.0" encoding="utf-8"?>
<table xmlns="http://schemas.openxmlformats.org/spreadsheetml/2006/main" id="80" name="Submódulo4.260_81" displayName="Submódulo4.260_81" ref="A101:D103" totalsRowCount="1">
  <autoFilter ref="A101:D102"/>
  <tableColumns count="4">
    <tableColumn id="1" name="4.2" totalsRowLabel="Total" dataDxfId="160"/>
    <tableColumn id="2" name="Substituto na Intrajornada " dataDxfId="161"/>
    <tableColumn id="3" name="Comentário" dataDxfId="162"/>
    <tableColumn id="4" name="Valor" totalsRowFunction="custom">
      <totalsRowFormula>D102</totalsRowFormula>
       dataDxfId="163"
    </tableColumn>
  </tableColumns>
  <tableStyleInfo showFirstColumn="0" showLastColumn="0" showRowStripes="1" showColumnStripes="0"/>
</table>
</file>

<file path=xl/tables/table42.xml><?xml version="1.0" encoding="utf-8"?>
<table xmlns="http://schemas.openxmlformats.org/spreadsheetml/2006/main" id="81" name="Table452_82" displayName="Table452_82" ref="A16:D21" totalsRowShown="0">
  <tableColumns count="4">
    <tableColumn id="1" name="Item" dataDxfId="164"/>
    <tableColumn id="2" name="Descrição" dataDxfId="165"/>
    <tableColumn id="3" name="Comentário" dataDxfId="166"/>
    <tableColumn id="4" name="Valor" dataDxfId="167"/>
  </tableColumns>
  <tableStyleInfo showFirstColumn="0" showLastColumn="0" showRowStripes="1" showColumnStripes="0"/>
</table>
</file>

<file path=xl/tables/table43.xml><?xml version="1.0" encoding="utf-8"?>
<table xmlns="http://schemas.openxmlformats.org/spreadsheetml/2006/main" id="82" name="Módulo358_83" displayName="Módulo358_83" ref="A75:D82" totalsRowCount="1">
  <autoFilter ref="A75:D81"/>
  <tableColumns count="4">
    <tableColumn id="1" name="3" totalsRowLabel="Total" dataDxfId="168"/>
    <tableColumn id="2" name="Provisão para Rescisão" dataDxfId="169"/>
    <tableColumn id="3" name="Percentual" totalsRowFunction="custom">
      <totalsRowFormula>SUM(C76:C81)</totalsRowFormula>
       dataDxfId="170"
    </tableColumn>
    <tableColumn id="4" name="Valor" totalsRowFunction="custom">
      <totalsRowFormula>TRUNC((SUM(D76:D81)),2)</totalsRowFormula>
       dataDxfId="171"
    </tableColumn>
  </tableColumns>
  <tableStyleInfo showFirstColumn="0" showLastColumn="0" showRowStripes="1" showColumnStripes="0"/>
</table>
</file>

<file path=xl/tables/table44.xml><?xml version="1.0" encoding="utf-8"?>
<table xmlns="http://schemas.openxmlformats.org/spreadsheetml/2006/main" id="83" name="Módulo562_84" displayName="Módulo562_84" ref="A112:D118" totalsRowCount="1">
  <autoFilter ref="A112:D117"/>
  <tableColumns count="4">
    <tableColumn id="1" name="5" totalsRowLabel="Total" dataDxfId="172"/>
    <tableColumn id="2" name="Insumos Diversos" dataDxfId="173"/>
    <tableColumn id="3" name="Comentário" dataDxfId="174"/>
    <tableColumn id="4" name="Valor" totalsRowFunction="custom">
      <totalsRowFormula>TRUNC(SUM(D113:D117),2)</totalsRowFormula>
       dataDxfId="175"
    </tableColumn>
  </tableColumns>
  <tableStyleInfo showFirstColumn="0" showLastColumn="0" showRowStripes="1" showColumnStripes="0"/>
</table>
</file>

<file path=xl/tables/table45.xml><?xml version="1.0" encoding="utf-8"?>
<table xmlns="http://schemas.openxmlformats.org/spreadsheetml/2006/main" id="84" name="Módulo663_85" displayName="Módulo663_85" ref="A128:D135" totalsRowCount="1">
  <tableColumns count="4">
    <tableColumn id="1" name="6" totalsRowLabel="Total" dataDxfId="176"/>
    <tableColumn id="2" name="Custos Indiretos, Tributos e Lucro" dataDxfId="177"/>
    <tableColumn id="3" name="Percentual" dataDxfId="178"/>
    <tableColumn id="4" name="Valor" totalsRowFunction="custom">
      <totalsRowFormula>TRUNC(SUM(D129:D131),2)</totalsRowFormula>
       dataDxfId="179"
    </tableColumn>
  </tableColumns>
  <tableStyleInfo showFirstColumn="0" showLastColumn="0" showRowStripes="1" showColumnStripes="0"/>
</table>
</file>

<file path=xl/tables/table46.xml><?xml version="1.0" encoding="utf-8"?>
<table xmlns="http://schemas.openxmlformats.org/spreadsheetml/2006/main" id="85" name="ResumoMódulo257_86" displayName="ResumoMódulo257_86" ref="A68:D72" totalsRowCount="1">
  <autoFilter ref="A68:D71"/>
  <tableColumns count="4">
    <tableColumn id="1" name="2" totalsRowLabel="Total" dataDxfId="180"/>
    <tableColumn id="2" name="Encargos e Benefícios Anuais, Mensais e Diários" dataDxfId="181"/>
    <tableColumn id="3" name="Comentário" dataDxfId="182"/>
    <tableColumn id="4" name="Valor" totalsRowFunction="custom">
      <totalsRowFormula>TRUNC(SUM(D69:D71),2)</totalsRowFormula>
       dataDxfId="183"
    </tableColumn>
  </tableColumns>
  <tableStyleInfo showFirstColumn="0" showLastColumn="0" showRowStripes="1" showColumnStripes="0"/>
</table>
</file>

<file path=xl/tables/table47.xml><?xml version="1.0" encoding="utf-8"?>
<table xmlns="http://schemas.openxmlformats.org/spreadsheetml/2006/main" id="86" name="Submódulo2.154_87" displayName="Submódulo2.154_87" ref="A36:D39" totalsRowCount="1">
  <autoFilter ref="A36:D38"/>
  <tableColumns count="4">
    <tableColumn id="1" name="2.1" totalsRowLabel="Total" dataDxfId="184"/>
    <tableColumn id="2" name="13º (décimo terceiro) Salário, Férias e Adicional de Férias" dataDxfId="185"/>
    <tableColumn id="3" name="Percentual" dataDxfId="186"/>
    <tableColumn id="4" name="Valor" totalsRowFunction="custom">
      <totalsRowFormula>TRUNC((SUM(D37:D38)),2)</totalsRowFormula>
       dataDxfId="187"
    </tableColumn>
  </tableColumns>
  <tableStyleInfo showFirstColumn="0" showLastColumn="0" showRowStripes="1" showColumnStripes="0"/>
</table>
</file>

<file path=xl/tables/table48.xml><?xml version="1.0" encoding="utf-8"?>
<table xmlns="http://schemas.openxmlformats.org/spreadsheetml/2006/main" id="87" name="ResumoMódulo461_88" displayName="ResumoMódulo461_88" ref="A106:D109" totalsRowCount="1">
  <autoFilter ref="A106:D108"/>
  <tableColumns count="4">
    <tableColumn id="1" name="4" totalsRowLabel="Total" dataDxfId="188"/>
    <tableColumn id="2" name="Custo de Reposição do Profissional Ausente" dataDxfId="189"/>
    <tableColumn id="3" name="Comentário" totalsRowLabel="*Nota: Se o titular USUFRUIR do descanso intrajornada, o total é o somatório dos subitens 4.1 e 4.2" dataDxfId="190"/>
    <tableColumn id="4" name="Valor" totalsRowFunction="custom">
      <totalsRowFormula>TRUNC((SUM(D107:D108)),2)</totalsRowFormula>
       dataDxfId="191"
    </tableColumn>
  </tableColumns>
  <tableStyleInfo showFirstColumn="0" showLastColumn="0" showRowStripes="1" showColumnStripes="0"/>
</table>
</file>

<file path=xl/tables/table49.xml><?xml version="1.0" encoding="utf-8"?>
<table xmlns="http://schemas.openxmlformats.org/spreadsheetml/2006/main" id="88" name="Submódulo2.255_89" displayName="Submódulo2.255_89" ref="A46:D55" totalsRowCount="1">
  <autoFilter ref="A46:D54"/>
  <tableColumns count="4">
    <tableColumn id="1" name="2.2" totalsRowLabel="Total" dataDxfId="192"/>
    <tableColumn id="2" name="GPS, FGTS e outras contribuições" dataDxfId="193"/>
    <tableColumn id="3" name="Percentual" totalsRowFunction="custom">
      <totalsRowFormula>SUM(C47:C54)</totalsRowFormula>
       dataDxfId="194"
    </tableColumn>
    <tableColumn id="4" name="Valor " totalsRowFunction="custom">
      <totalsRowFormula>TRUNC((SUM(D47:D54)),2)</totalsRowFormula>
       dataDxfId="195"
    </tableColumn>
  </tableColumns>
  <tableStyleInfo showFirstColumn="0" showLastColumn="0" showRowStripes="1" showColumnStripes="0"/>
</table>
</file>

<file path=xl/tables/table5.xml><?xml version="1.0" encoding="utf-8"?>
<table xmlns="http://schemas.openxmlformats.org/spreadsheetml/2006/main" id="28" name="Table4" displayName="Table4" ref="A2:D7" totalsRowShown="0">
  <tableColumns count="4">
    <tableColumn id="1" name="Item" dataDxfId="16"/>
    <tableColumn id="2" name="Descrição" dataDxfId="17"/>
    <tableColumn id="3" name="Comentário" dataDxfId="18"/>
    <tableColumn id="4" name="Valor" dataDxfId="19"/>
  </tableColumns>
  <tableStyleInfo showFirstColumn="0" showLastColumn="0" showRowStripes="1" showColumnStripes="0"/>
</table>
</file>

<file path=xl/tables/table50.xml><?xml version="1.0" encoding="utf-8"?>
<table xmlns="http://schemas.openxmlformats.org/spreadsheetml/2006/main" id="89" name="ResumoPosto64_90" displayName="ResumoPosto64_90" ref="A139:D147" totalsRowShown="0">
  <autoFilter ref="A139:D147"/>
  <tableColumns count="4">
    <tableColumn id="1" name="Item" dataDxfId="196"/>
    <tableColumn id="2" name="Mão de obra vinculada à execução contratual" dataDxfId="197"/>
    <tableColumn id="3" name="-" dataDxfId="198"/>
    <tableColumn id="4" name="Valor" dataDxfId="199"/>
  </tableColumns>
  <tableStyleInfo showFirstColumn="0" showLastColumn="0" showRowStripes="1" showColumnStripes="0"/>
</table>
</file>

<file path=xl/tables/table51.xml><?xml version="1.0" encoding="utf-8"?>
<table xmlns="http://schemas.openxmlformats.org/spreadsheetml/2006/main" id="9" name="Submódulo2.356_7931" displayName="Submódulo2.356_7931" ref="A58:D65" totalsRowCount="1">
  <autoFilter ref="A58:D64"/>
  <tableColumns count="4">
    <tableColumn id="1" name="2.3" totalsRowLabel="Total" dataDxfId="200"/>
    <tableColumn id="2" name="Benefícios Mensais e Diários" dataDxfId="201"/>
    <tableColumn id="3" name="Comentário" dataDxfId="202"/>
    <tableColumn id="4" name="Valor" totalsRowFunction="custom">
      <totalsRowFormula>TRUNC((SUM(D59:D64)),2)</totalsRowFormula>
       dataDxfId="203"
    </tableColumn>
  </tableColumns>
  <tableStyleInfo showFirstColumn="0" showLastColumn="0" showRowStripes="1" showColumnStripes="0"/>
</table>
</file>

<file path=xl/tables/table52.xml><?xml version="1.0" encoding="utf-8"?>
<table xmlns="http://schemas.openxmlformats.org/spreadsheetml/2006/main" id="11" name="ResumoMódulo257_8630" displayName="ResumoMódulo257_8630" ref="A68:D72" totalsRowCount="1">
  <autoFilter ref="A68:D71"/>
  <tableColumns count="4">
    <tableColumn id="1" name="2" totalsRowLabel="Total" dataDxfId="204"/>
    <tableColumn id="2" name="Encargos e Benefícios Anuais, Mensais e Diários" dataDxfId="205"/>
    <tableColumn id="3" name="Comentário" dataDxfId="206"/>
    <tableColumn id="4" name="Valor" totalsRowFunction="custom">
      <totalsRowFormula>TRUNC(SUM(D69:D71),2)</totalsRowFormula>
       dataDxfId="207"
    </tableColumn>
  </tableColumns>
  <tableStyleInfo showFirstColumn="0" showLastColumn="0" showRowStripes="1" showColumnStripes="0"/>
</table>
</file>

<file path=xl/tables/table53.xml><?xml version="1.0" encoding="utf-8"?>
<table xmlns="http://schemas.openxmlformats.org/spreadsheetml/2006/main" id="13" name="Módulo663_8532" displayName="Módulo663_8532" ref="A128:D135" totalsRowCount="1">
  <tableColumns count="4">
    <tableColumn id="1" name="6" totalsRowLabel="Total" dataDxfId="208"/>
    <tableColumn id="2" name="Custos Indiretos, Tributos e Lucro" dataDxfId="209"/>
    <tableColumn id="3" name="Percentual" dataDxfId="210"/>
    <tableColumn id="4" name="Valor" totalsRowFunction="custom">
      <totalsRowFormula>TRUNC(SUM(D129:D131),2)</totalsRowFormula>
       dataDxfId="211"
    </tableColumn>
  </tableColumns>
  <tableStyleInfo showFirstColumn="0" showLastColumn="0" showRowStripes="1" showColumnStripes="0"/>
</table>
</file>

<file path=xl/tables/table54.xml><?xml version="1.0" encoding="utf-8"?>
<table xmlns="http://schemas.openxmlformats.org/spreadsheetml/2006/main" id="15" name="Submódulo2.154_8712" displayName="Submódulo2.154_8712" ref="A36:D39" totalsRowCount="1">
  <autoFilter ref="A36:D38"/>
  <tableColumns count="4">
    <tableColumn id="1" name="2.1" totalsRowLabel="Total" dataDxfId="212"/>
    <tableColumn id="2" name="13º (décimo terceiro) Salário, Férias e Adicional de Férias" dataDxfId="213"/>
    <tableColumn id="3" name="Percentual" dataDxfId="214"/>
    <tableColumn id="4" name="Valor" totalsRowFunction="custom">
      <totalsRowFormula>TRUNC((SUM(D37:D38)),2)</totalsRowFormula>
       dataDxfId="215"
    </tableColumn>
  </tableColumns>
  <tableStyleInfo showFirstColumn="0" showLastColumn="0" showRowStripes="1" showColumnStripes="0"/>
</table>
</file>

<file path=xl/tables/table55.xml><?xml version="1.0" encoding="utf-8"?>
<table xmlns="http://schemas.openxmlformats.org/spreadsheetml/2006/main" id="17" name="ResumoMódulo461_8814" displayName="ResumoMódulo461_8814" ref="A106:D109" totalsRowCount="1">
  <autoFilter ref="A106:D108"/>
  <tableColumns count="4">
    <tableColumn id="1" name="4" totalsRowLabel="Total" dataDxfId="216"/>
    <tableColumn id="2" name="Custo de Reposição do Profissional Ausente" dataDxfId="217"/>
    <tableColumn id="3" name="Comentário" totalsRowLabel="*Nota: Se o titular USUFRUIR do descanso intrajornada, o total é o somatório dos subitens 4.1 e 4.2" dataDxfId="218"/>
    <tableColumn id="4" name="Valor" totalsRowFunction="custom">
      <totalsRowFormula>TRUNC((SUM(D107:D108)),2)</totalsRowFormula>
       dataDxfId="219"
    </tableColumn>
  </tableColumns>
  <tableStyleInfo showFirstColumn="0" showLastColumn="0" showRowStripes="1" showColumnStripes="0"/>
</table>
</file>

<file path=xl/tables/table56.xml><?xml version="1.0" encoding="utf-8"?>
<table xmlns="http://schemas.openxmlformats.org/spreadsheetml/2006/main" id="19" name="Submódulo2.255_8916" displayName="Submódulo2.255_8916" ref="A46:D55" totalsRowCount="1">
  <autoFilter ref="A46:D54"/>
  <tableColumns count="4">
    <tableColumn id="1" name="2.2" totalsRowLabel="Total" dataDxfId="220"/>
    <tableColumn id="2" name="GPS, FGTS e outras contribuições" dataDxfId="221"/>
    <tableColumn id="3" name="Percentual" totalsRowFunction="custom">
      <totalsRowFormula>SUM(C47:C54)</totalsRowFormula>
       dataDxfId="222"
    </tableColumn>
    <tableColumn id="4" name="Valor " totalsRowFunction="custom">
      <totalsRowFormula>TRUNC((SUM(D47:D54)),2)</totalsRowFormula>
       dataDxfId="223"
    </tableColumn>
  </tableColumns>
  <tableStyleInfo showFirstColumn="0" showLastColumn="0" showRowStripes="1" showColumnStripes="0"/>
</table>
</file>

<file path=xl/tables/table57.xml><?xml version="1.0" encoding="utf-8"?>
<table xmlns="http://schemas.openxmlformats.org/spreadsheetml/2006/main" id="21" name="ResumoPosto64_9010" displayName="ResumoPosto64_9010" ref="A139:D147" totalsRowShown="0">
  <autoFilter ref="A139:D147"/>
  <tableColumns count="4">
    <tableColumn id="1" name="Item" dataDxfId="224"/>
    <tableColumn id="2" name="Mão de obra vinculada à execução contratual" dataDxfId="225"/>
    <tableColumn id="3" name="-" dataDxfId="226"/>
    <tableColumn id="4" name="Valor" dataDxfId="227"/>
  </tableColumns>
  <tableStyleInfo showFirstColumn="0" showLastColumn="0" showRowStripes="1" showColumnStripes="0"/>
</table>
</file>

<file path=xl/tables/table58.xml><?xml version="1.0" encoding="utf-8"?>
<table xmlns="http://schemas.openxmlformats.org/spreadsheetml/2006/main" id="23" name="Módulo153_7828" displayName="Módulo153_7828" ref="A24:D31" totalsRowCount="1">
  <autoFilter ref="A24:D30"/>
  <tableColumns count="4">
    <tableColumn id="1" name="1" totalsRowLabel="Total" dataDxfId="228"/>
    <tableColumn id="2" name="Composição da Remuneração" dataDxfId="229"/>
    <tableColumn id="3" name="Comentário" dataDxfId="230"/>
    <tableColumn id="4" name="Valor" totalsRowFunction="custom">
      <totalsRowFormula>TRUNC(SUM(D25:D30),2)</totalsRowFormula>
       dataDxfId="231"
    </tableColumn>
  </tableColumns>
  <tableStyleInfo showFirstColumn="0" showLastColumn="0" showRowStripes="1" showColumnStripes="0"/>
</table>
</file>

<file path=xl/tables/table59.xml><?xml version="1.0" encoding="utf-8"?>
<table xmlns="http://schemas.openxmlformats.org/spreadsheetml/2006/main" id="25" name="Módulo562_8424" displayName="Módulo562_8424" ref="A112:D118" totalsRowCount="1">
  <autoFilter ref="A112:D117"/>
  <tableColumns count="4">
    <tableColumn id="1" name="5" totalsRowLabel="Total" dataDxfId="232"/>
    <tableColumn id="2" name="Insumos Diversos" dataDxfId="233"/>
    <tableColumn id="3" name="Comentário" dataDxfId="234"/>
    <tableColumn id="4" name="Valor" totalsRowFunction="custom">
      <totalsRowFormula>TRUNC(SUM((D113:D117)),2)</totalsRowFormula>
       dataDxfId="235"
    </tableColumn>
  </tableColumns>
  <tableStyleInfo showFirstColumn="0" showLastColumn="0" showRowStripes="1" showColumnStripes="0"/>
</table>
</file>

<file path=xl/tables/table6.xml><?xml version="1.0" encoding="utf-8"?>
<table xmlns="http://schemas.openxmlformats.org/spreadsheetml/2006/main" id="32" name="Table8" displayName="Table8" ref="A27:D29" totalsRowShown="0">
  <autoFilter ref="A27:D29"/>
  <tableColumns count="4">
    <tableColumn id="1" name="Item" dataDxfId="20"/>
    <tableColumn id="2" name="Rubrica" dataDxfId="21"/>
    <tableColumn id="3" name="Base de Cálculo" dataDxfId="22"/>
    <tableColumn id="4" name="Memória de Cálculo" dataDxfId="23"/>
  </tableColumns>
  <tableStyleInfo showFirstColumn="0" showLastColumn="0" showRowStripes="1" showColumnStripes="0"/>
</table>
</file>

<file path=xl/tables/table60.xml><?xml version="1.0" encoding="utf-8"?>
<table xmlns="http://schemas.openxmlformats.org/spreadsheetml/2006/main" id="27" name="Submódulo4.159_8018" displayName="Submódulo4.159_8018" ref="A91:D98" totalsRowCount="1">
  <autoFilter ref="A91:D97"/>
  <tableColumns count="4">
    <tableColumn id="1" name="4.1" totalsRowLabel="Total" dataDxfId="236"/>
    <tableColumn id="2" name="Substituto nas Ausências Legais" dataDxfId="237"/>
    <tableColumn id="3" name="Percentual" totalsRowFunction="custom">
      <totalsRowFormula>SUM(C92:C97)</totalsRowFormula>
       dataDxfId="238"
    </tableColumn>
    <tableColumn id="4" name="Valor" totalsRowFunction="custom">
      <totalsRowFormula>TRUNC((SUM(D92:D97)),2)</totalsRowFormula>
       dataDxfId="239"
    </tableColumn>
  </tableColumns>
  <tableStyleInfo showFirstColumn="0" showLastColumn="0" showRowStripes="1" showColumnStripes="0"/>
</table>
</file>

<file path=xl/tables/table61.xml><?xml version="1.0" encoding="utf-8"?>
<table xmlns="http://schemas.openxmlformats.org/spreadsheetml/2006/main" id="29" name="Módulo358_8326" displayName="Módulo358_8326" ref="A75:D82" totalsRowCount="1">
  <autoFilter ref="A75:D81"/>
  <tableColumns count="4">
    <tableColumn id="1" name="3" totalsRowLabel="Total" dataDxfId="240"/>
    <tableColumn id="2" name="Provisão para Rescisão" dataDxfId="241"/>
    <tableColumn id="3" name="Percentual" totalsRowFunction="custom">
      <totalsRowFormula>SUM(C76:C81)</totalsRowFormula>
       dataDxfId="242"
    </tableColumn>
    <tableColumn id="4" name="Valor" totalsRowFunction="custom">
      <totalsRowFormula>TRUNC((SUM(D76:D81)),2)</totalsRowFormula>
       dataDxfId="243"
    </tableColumn>
  </tableColumns>
  <tableStyleInfo showFirstColumn="0" showLastColumn="0" showRowStripes="1" showColumnStripes="0"/>
</table>
</file>

<file path=xl/tables/table62.xml><?xml version="1.0" encoding="utf-8"?>
<table xmlns="http://schemas.openxmlformats.org/spreadsheetml/2006/main" id="30" name="Table452_8222" displayName="Table452_8222" ref="A16:D21" totalsRowShown="0">
  <tableColumns count="4">
    <tableColumn id="1" name="Item" dataDxfId="244"/>
    <tableColumn id="2" name="Descrição" dataDxfId="245"/>
    <tableColumn id="3" name="Comentário" dataDxfId="246"/>
    <tableColumn id="4" name="Valor" dataDxfId="247"/>
  </tableColumns>
  <tableStyleInfo showFirstColumn="0" showLastColumn="0" showRowStripes="1" showColumnStripes="0"/>
</table>
</file>

<file path=xl/tables/table63.xml><?xml version="1.0" encoding="utf-8"?>
<table xmlns="http://schemas.openxmlformats.org/spreadsheetml/2006/main" id="31" name="Submódulo4.260_8120" displayName="Submódulo4.260_8120" ref="A101:D103" totalsRowCount="1">
  <autoFilter ref="A101:D102"/>
  <tableColumns count="4">
    <tableColumn id="1" name="4.2" totalsRowLabel="Total" dataDxfId="248"/>
    <tableColumn id="2" name="Substituto na Intrajornada " dataDxfId="249"/>
    <tableColumn id="3" name="Comentário" dataDxfId="250"/>
    <tableColumn id="4" name="Valor" totalsRowFunction="custom">
      <totalsRowFormula>D102</totalsRowFormula>
       dataDxfId="251"
    </tableColumn>
  </tableColumns>
  <tableStyleInfo showFirstColumn="0" showLastColumn="0" showRowStripes="1" showColumnStripes="0"/>
</table>
</file>

<file path=xl/tables/table64.xml><?xml version="1.0" encoding="utf-8"?>
<table xmlns="http://schemas.openxmlformats.org/spreadsheetml/2006/main" id="51" name="ResumoMódulo257_863099" displayName="ResumoMódulo257_863099" ref="A68:D72" totalsRowCount="1">
  <autoFilter ref="A68:D71"/>
  <tableColumns count="4">
    <tableColumn id="1" name="2" totalsRowLabel="Total" dataDxfId="252"/>
    <tableColumn id="2" name="Encargos e Benefícios Anuais, Mensais e Diários" dataDxfId="253"/>
    <tableColumn id="3" name="Comentário" dataDxfId="254"/>
    <tableColumn id="4" name="Valor" totalsRowFunction="custom">
      <totalsRowFormula>TRUNC(SUM(D69:D71),2)</totalsRowFormula>
       dataDxfId="255"
    </tableColumn>
  </tableColumns>
  <tableStyleInfo showFirstColumn="0" showLastColumn="0" showRowStripes="1" showColumnStripes="0"/>
</table>
</file>

<file path=xl/tables/table65.xml><?xml version="1.0" encoding="utf-8"?>
<table xmlns="http://schemas.openxmlformats.org/spreadsheetml/2006/main" id="52" name="Submódulo2.356_7931101" displayName="Submódulo2.356_7931101" ref="A58:D65" totalsRowCount="1">
  <autoFilter ref="A58:D64"/>
  <tableColumns count="4">
    <tableColumn id="1" name="2.3" totalsRowLabel="Total" dataDxfId="256"/>
    <tableColumn id="2" name="Benefícios Mensais e Diários" dataDxfId="257"/>
    <tableColumn id="3" name="Comentário" dataDxfId="258"/>
    <tableColumn id="4" name="Valor" totalsRowFunction="custom">
      <totalsRowFormula>TRUNC((SUM(D59:D64)),2)</totalsRowFormula>
       dataDxfId="259"
    </tableColumn>
  </tableColumns>
  <tableStyleInfo showFirstColumn="0" showLastColumn="0" showRowStripes="1" showColumnStripes="0"/>
</table>
</file>

<file path=xl/tables/table66.xml><?xml version="1.0" encoding="utf-8"?>
<table xmlns="http://schemas.openxmlformats.org/spreadsheetml/2006/main" id="53" name="ResumoPosto64_901094" displayName="ResumoPosto64_901094" ref="A139:D147" totalsRowShown="0">
  <autoFilter ref="A139:D147"/>
  <tableColumns count="4">
    <tableColumn id="1" name="Item" dataDxfId="260"/>
    <tableColumn id="2" name="Mão de obra vinculada à execução contratual" dataDxfId="261"/>
    <tableColumn id="3" name="-" dataDxfId="262"/>
    <tableColumn id="4" name="Valor" dataDxfId="263"/>
  </tableColumns>
  <tableStyleInfo showFirstColumn="0" showLastColumn="0" showRowStripes="1" showColumnStripes="0"/>
</table>
</file>

<file path=xl/tables/table67.xml><?xml version="1.0" encoding="utf-8"?>
<table xmlns="http://schemas.openxmlformats.org/spreadsheetml/2006/main" id="54" name="Table452_8222100" displayName="Table452_8222100" ref="A16:D21" totalsRowShown="0">
  <tableColumns count="4">
    <tableColumn id="1" name="Item" dataDxfId="264"/>
    <tableColumn id="2" name="Descrição" dataDxfId="265"/>
    <tableColumn id="3" name="Comentário" dataDxfId="266"/>
    <tableColumn id="4" name="Valor" dataDxfId="267"/>
  </tableColumns>
  <tableStyleInfo showFirstColumn="0" showLastColumn="0" showRowStripes="1" showColumnStripes="0"/>
</table>
</file>

<file path=xl/tables/table68.xml><?xml version="1.0" encoding="utf-8"?>
<table xmlns="http://schemas.openxmlformats.org/spreadsheetml/2006/main" id="55" name="Módulo562_842491" displayName="Módulo562_842491" ref="A112:D118" totalsRowCount="1">
  <autoFilter ref="A112:D117"/>
  <tableColumns count="4">
    <tableColumn id="1" name="5" totalsRowLabel="Total" dataDxfId="268"/>
    <tableColumn id="2" name="Insumos Diversos" dataDxfId="269"/>
    <tableColumn id="3" name="Comentário" dataDxfId="270"/>
    <tableColumn id="4" name="Valor" totalsRowFunction="custom">
      <totalsRowFormula>TRUNC(SUM((D113:D117)),2)</totalsRowFormula>
       dataDxfId="271"
    </tableColumn>
  </tableColumns>
  <tableStyleInfo showFirstColumn="0" showLastColumn="0" showRowStripes="1" showColumnStripes="0"/>
</table>
</file>

<file path=xl/tables/table69.xml><?xml version="1.0" encoding="utf-8"?>
<table xmlns="http://schemas.openxmlformats.org/spreadsheetml/2006/main" id="56" name="Submódulo4.159_801898" displayName="Submódulo4.159_801898" ref="A91:D98" totalsRowCount="1">
  <autoFilter ref="A91:D97"/>
  <tableColumns count="4">
    <tableColumn id="1" name="4.1" totalsRowLabel="Total" dataDxfId="272"/>
    <tableColumn id="2" name="Substituto nas Ausências Legais" dataDxfId="273"/>
    <tableColumn id="3" name="Percentual" totalsRowFunction="custom">
      <totalsRowFormula>SUM(C92:C97)</totalsRowFormula>
       dataDxfId="274"
    </tableColumn>
    <tableColumn id="4" name="Valor" totalsRowFunction="custom">
      <totalsRowFormula>TRUNC((SUM(D92:D97)),2)</totalsRowFormula>
       dataDxfId="275"
    </tableColumn>
  </tableColumns>
  <tableStyleInfo showFirstColumn="0" showLastColumn="0" showRowStripes="1" showColumnStripes="0"/>
</table>
</file>

<file path=xl/tables/table7.xml><?xml version="1.0" encoding="utf-8"?>
<table xmlns="http://schemas.openxmlformats.org/spreadsheetml/2006/main" id="33" name="Table839" displayName="Table839" ref="A44:D45" totalsRowShown="0">
  <autoFilter ref="A44:D45"/>
  <tableColumns count="4">
    <tableColumn id="1" name="Item" dataDxfId="24"/>
    <tableColumn id="2" name="Rubrica" dataDxfId="25"/>
    <tableColumn id="3" name="Base de Cálculo" dataDxfId="26"/>
    <tableColumn id="4" name="Memória de Cálculo" dataDxfId="27"/>
  </tableColumns>
  <tableStyleInfo showFirstColumn="0" showLastColumn="0" showRowStripes="1" showColumnStripes="0"/>
</table>
</file>

<file path=xl/tables/table70.xml><?xml version="1.0" encoding="utf-8"?>
<table xmlns="http://schemas.openxmlformats.org/spreadsheetml/2006/main" id="57" name="Submódulo4.260_8120102" displayName="Submódulo4.260_8120102" ref="A101:D103" totalsRowCount="1">
  <autoFilter ref="A101:D102"/>
  <tableColumns count="4">
    <tableColumn id="1" name="4.2" totalsRowLabel="Total" dataDxfId="276"/>
    <tableColumn id="2" name="Substituto na Intrajornada " dataDxfId="277"/>
    <tableColumn id="3" name="Comentário" dataDxfId="278"/>
    <tableColumn id="4" name="Valor" totalsRowFunction="custom">
      <totalsRowFormula>D102</totalsRowFormula>
       dataDxfId="279"
    </tableColumn>
  </tableColumns>
  <tableStyleInfo showFirstColumn="0" showLastColumn="0" showRowStripes="1" showColumnStripes="0"/>
</table>
</file>

<file path=xl/tables/table71.xml><?xml version="1.0" encoding="utf-8"?>
<table xmlns="http://schemas.openxmlformats.org/spreadsheetml/2006/main" id="58" name="ResumoMódulo461_881495" displayName="ResumoMódulo461_881495" ref="A106:D109" totalsRowCount="1">
  <autoFilter ref="A106:D108"/>
  <tableColumns count="4">
    <tableColumn id="1" name="4" totalsRowLabel="Total" dataDxfId="280"/>
    <tableColumn id="2" name="Custo de Reposição do Profissional Ausente" dataDxfId="281"/>
    <tableColumn id="3" name="Comentário" totalsRowLabel="*Nota: Se o titular USUFRUIR do descanso intrajornada, o total é o somatório dos subitens 4.1 e 4.2" dataDxfId="282"/>
    <tableColumn id="4" name="Valor" totalsRowFunction="custom">
      <totalsRowFormula>TRUNC((SUM(D107:D108)),2)</totalsRowFormula>
       dataDxfId="283"
    </tableColumn>
  </tableColumns>
  <tableStyleInfo showFirstColumn="0" showLastColumn="0" showRowStripes="1" showColumnStripes="0"/>
</table>
</file>

<file path=xl/tables/table72.xml><?xml version="1.0" encoding="utf-8"?>
<table xmlns="http://schemas.openxmlformats.org/spreadsheetml/2006/main" id="59" name="Módulo358_8326103" displayName="Módulo358_8326103" ref="A75:D82" totalsRowCount="1">
  <autoFilter ref="A75:D81"/>
  <tableColumns count="4">
    <tableColumn id="1" name="3" totalsRowLabel="Total" dataDxfId="284"/>
    <tableColumn id="2" name="Provisão para Rescisão" dataDxfId="285"/>
    <tableColumn id="3" name="Percentual" totalsRowFunction="custom">
      <totalsRowFormula>SUM(C76:C81)</totalsRowFormula>
       dataDxfId="286"
    </tableColumn>
    <tableColumn id="4" name="Valor" totalsRowFunction="custom">
      <totalsRowFormula>TRUNC((SUM(D76:D81)),2)</totalsRowFormula>
       dataDxfId="287"
    </tableColumn>
  </tableColumns>
  <tableStyleInfo showFirstColumn="0" showLastColumn="0" showRowStripes="1" showColumnStripes="0"/>
</table>
</file>

<file path=xl/tables/table73.xml><?xml version="1.0" encoding="utf-8"?>
<table xmlns="http://schemas.openxmlformats.org/spreadsheetml/2006/main" id="60" name="Módulo663_853293" displayName="Módulo663_853293" ref="A128:D135" totalsRowCount="1">
  <tableColumns count="4">
    <tableColumn id="1" name="6" totalsRowLabel="Total" dataDxfId="288"/>
    <tableColumn id="2" name="Custos Indiretos, Tributos e Lucro" dataDxfId="289"/>
    <tableColumn id="3" name="Percentual" dataDxfId="290"/>
    <tableColumn id="4" name="Valor" totalsRowFunction="custom">
      <totalsRowFormula>TRUNC(SUM(D129:D131),2)</totalsRowFormula>
       dataDxfId="291"
    </tableColumn>
  </tableColumns>
  <tableStyleInfo showFirstColumn="0" showLastColumn="0" showRowStripes="1" showColumnStripes="0"/>
</table>
</file>

<file path=xl/tables/table74.xml><?xml version="1.0" encoding="utf-8"?>
<table xmlns="http://schemas.openxmlformats.org/spreadsheetml/2006/main" id="61" name="Módulo153_782896" displayName="Módulo153_782896" ref="A24:D31" totalsRowCount="1">
  <autoFilter ref="A24:D30"/>
  <tableColumns count="4">
    <tableColumn id="1" name="1" totalsRowLabel="Total" dataDxfId="292"/>
    <tableColumn id="2" name="Composição da Remuneração" dataDxfId="293"/>
    <tableColumn id="3" name="Comentário" dataDxfId="294"/>
    <tableColumn id="4" name="Valor" totalsRowFunction="custom">
      <totalsRowFormula>TRUNC(SUM(D25:D30),2)</totalsRowFormula>
       dataDxfId="295"
    </tableColumn>
  </tableColumns>
  <tableStyleInfo showFirstColumn="0" showLastColumn="0" showRowStripes="1" showColumnStripes="0"/>
</table>
</file>

<file path=xl/tables/table75.xml><?xml version="1.0" encoding="utf-8"?>
<table xmlns="http://schemas.openxmlformats.org/spreadsheetml/2006/main" id="62" name="Submódulo2.255_891692" displayName="Submódulo2.255_891692" ref="A46:D55" totalsRowCount="1">
  <autoFilter ref="A46:D54"/>
  <tableColumns count="4">
    <tableColumn id="1" name="2.2" totalsRowLabel="Total" dataDxfId="296"/>
    <tableColumn id="2" name="GPS, FGTS e outras contribuições" dataDxfId="297"/>
    <tableColumn id="3" name="Percentual" totalsRowFunction="custom">
      <totalsRowFormula>SUM(C47:C54)</totalsRowFormula>
       dataDxfId="298"
    </tableColumn>
    <tableColumn id="4" name="Valor " totalsRowFunction="custom">
      <totalsRowFormula>TRUNC((SUM(D47:D54)),2)</totalsRowFormula>
       dataDxfId="299"
    </tableColumn>
  </tableColumns>
  <tableStyleInfo showFirstColumn="0" showLastColumn="0" showRowStripes="1" showColumnStripes="0"/>
</table>
</file>

<file path=xl/tables/table76.xml><?xml version="1.0" encoding="utf-8"?>
<table xmlns="http://schemas.openxmlformats.org/spreadsheetml/2006/main" id="63" name="Submódulo2.154_871297" displayName="Submódulo2.154_871297" ref="A36:D39" totalsRowCount="1">
  <autoFilter ref="A36:D38"/>
  <tableColumns count="4">
    <tableColumn id="1" name="2.1" totalsRowLabel="Total" dataDxfId="300"/>
    <tableColumn id="2" name="13º (décimo terceiro) Salário, Férias e Adicional de Férias" dataDxfId="301"/>
    <tableColumn id="3" name="Percentual" dataDxfId="302"/>
    <tableColumn id="4" name="Valor" totalsRowFunction="custom">
      <totalsRowFormula>TRUNC((SUM(D37:D38)),2)</totalsRowFormula>
       dataDxfId="303"
    </tableColumn>
  </tableColumns>
  <tableStyleInfo showFirstColumn="0" showLastColumn="0" showRowStripes="1" showColumnStripes="0"/>
</table>
</file>

<file path=xl/tables/table77.xml><?xml version="1.0" encoding="utf-8"?>
<table xmlns="http://schemas.openxmlformats.org/spreadsheetml/2006/main" id="64" name="Submódulo4.260_812010265" displayName="Submódulo4.260_812010265" ref="A101:D103" totalsRowCount="1">
  <autoFilter ref="A101:D102"/>
  <tableColumns count="4">
    <tableColumn id="1" name="4.2" totalsRowLabel="Total" dataDxfId="304"/>
    <tableColumn id="2" name="Substituto na Intrajornada " dataDxfId="305"/>
    <tableColumn id="3" name="Comentário" dataDxfId="306"/>
    <tableColumn id="4" name="Valor" totalsRowFunction="custom">
      <totalsRowFormula>D102</totalsRowFormula>
       dataDxfId="307"
    </tableColumn>
  </tableColumns>
  <tableStyleInfo showFirstColumn="0" showLastColumn="0" showRowStripes="1" showColumnStripes="0"/>
</table>
</file>

<file path=xl/tables/table78.xml><?xml version="1.0" encoding="utf-8"?>
<table xmlns="http://schemas.openxmlformats.org/spreadsheetml/2006/main" id="65" name="Submódulo2.255_89169266" displayName="Submódulo2.255_89169266" ref="A46:D55" totalsRowCount="1">
  <autoFilter ref="A46:D54"/>
  <tableColumns count="4">
    <tableColumn id="1" name="2.2" totalsRowLabel="Total" dataDxfId="308"/>
    <tableColumn id="2" name="GPS, FGTS e outras contribuições" dataDxfId="309"/>
    <tableColumn id="3" name="Percentual" totalsRowFunction="custom">
      <totalsRowFormula>SUM(C47:C54)</totalsRowFormula>
       dataDxfId="310"
    </tableColumn>
    <tableColumn id="4" name="Valor " totalsRowFunction="custom">
      <totalsRowFormula>TRUNC((SUM(D47:D54)),2)</totalsRowFormula>
       dataDxfId="311"
    </tableColumn>
  </tableColumns>
  <tableStyleInfo showFirstColumn="0" showLastColumn="0" showRowStripes="1" showColumnStripes="0"/>
</table>
</file>

<file path=xl/tables/table79.xml><?xml version="1.0" encoding="utf-8"?>
<table xmlns="http://schemas.openxmlformats.org/spreadsheetml/2006/main" id="66" name="Módulo153_78289667" displayName="Módulo153_78289667" ref="A24:D31" totalsRowCount="1">
  <autoFilter ref="A24:D30"/>
  <tableColumns count="4">
    <tableColumn id="1" name="1" totalsRowLabel="Total" dataDxfId="312"/>
    <tableColumn id="2" name="Composição da Remuneração" dataDxfId="313"/>
    <tableColumn id="3" name="Comentário" dataDxfId="314"/>
    <tableColumn id="4" name="Valor" totalsRowFunction="custom">
      <totalsRowFormula>TRUNC(SUM(D25:D30),2)</totalsRowFormula>
       dataDxfId="315"
    </tableColumn>
  </tableColumns>
  <tableStyleInfo showFirstColumn="0" showLastColumn="0" showRowStripes="1" showColumnStripes="0"/>
</table>
</file>

<file path=xl/tables/table8.xml><?xml version="1.0" encoding="utf-8"?>
<table xmlns="http://schemas.openxmlformats.org/spreadsheetml/2006/main" id="34" name="Table842" displayName="Table842" ref="A56:D58" totalsRowShown="0">
  <autoFilter ref="A56:D58"/>
  <tableColumns count="4">
    <tableColumn id="1" name="Item" dataDxfId="28"/>
    <tableColumn id="2" name="Rubrica" dataDxfId="29"/>
    <tableColumn id="3" name="Base de Cálculo" dataDxfId="30"/>
    <tableColumn id="4" name="Memória de Cálculo" dataDxfId="31"/>
  </tableColumns>
  <tableStyleInfo showFirstColumn="0" showLastColumn="0" showRowStripes="1" showColumnStripes="0"/>
</table>
</file>

<file path=xl/tables/table80.xml><?xml version="1.0" encoding="utf-8"?>
<table xmlns="http://schemas.openxmlformats.org/spreadsheetml/2006/main" id="67" name="Submódulo2.356_793110168" displayName="Submódulo2.356_793110168" ref="A58:D65" totalsRowCount="1">
  <autoFilter ref="A58:D64"/>
  <tableColumns count="4">
    <tableColumn id="1" name="2.3" totalsRowLabel="Total" dataDxfId="316"/>
    <tableColumn id="2" name="Benefícios Mensais e Diários" dataDxfId="317"/>
    <tableColumn id="3" name="Comentário" dataDxfId="318"/>
    <tableColumn id="4" name="Valor" totalsRowFunction="custom">
      <totalsRowFormula>TRUNC((SUM(D59:D64)),2)</totalsRowFormula>
       dataDxfId="319"
    </tableColumn>
  </tableColumns>
  <tableStyleInfo showFirstColumn="0" showLastColumn="0" showRowStripes="1" showColumnStripes="0"/>
</table>
</file>

<file path=xl/tables/table81.xml><?xml version="1.0" encoding="utf-8"?>
<table xmlns="http://schemas.openxmlformats.org/spreadsheetml/2006/main" id="68" name="Submódulo4.159_80189869" displayName="Submódulo4.159_80189869" ref="A91:D98" totalsRowCount="1">
  <autoFilter ref="A91:D97"/>
  <tableColumns count="4">
    <tableColumn id="1" name="4.1" totalsRowLabel="Total" dataDxfId="320"/>
    <tableColumn id="2" name="Substituto nas Ausências Legais" dataDxfId="321"/>
    <tableColumn id="3" name="Percentual" totalsRowFunction="custom">
      <totalsRowFormula>SUM(C92:C97)</totalsRowFormula>
       dataDxfId="322"
    </tableColumn>
    <tableColumn id="4" name="Valor" totalsRowFunction="custom">
      <totalsRowFormula>TRUNC((SUM(D92:D97)),2)</totalsRowFormula>
       dataDxfId="323"
    </tableColumn>
  </tableColumns>
  <tableStyleInfo showFirstColumn="0" showLastColumn="0" showRowStripes="1" showColumnStripes="0"/>
</table>
</file>

<file path=xl/tables/table82.xml><?xml version="1.0" encoding="utf-8"?>
<table xmlns="http://schemas.openxmlformats.org/spreadsheetml/2006/main" id="69" name="Submódulo2.154_87129770" displayName="Submódulo2.154_87129770" ref="A36:D39" totalsRowCount="1">
  <autoFilter ref="A36:D38"/>
  <tableColumns count="4">
    <tableColumn id="1" name="2.1" totalsRowLabel="Total" dataDxfId="324"/>
    <tableColumn id="2" name="13º (décimo terceiro) Salário, Férias e Adicional de Férias" dataDxfId="325"/>
    <tableColumn id="3" name="Percentual" dataDxfId="326"/>
    <tableColumn id="4" name="Valor" totalsRowFunction="custom">
      <totalsRowFormula>TRUNC((SUM(D37:D38)),2)</totalsRowFormula>
       dataDxfId="327"
    </tableColumn>
  </tableColumns>
  <tableStyleInfo showFirstColumn="0" showLastColumn="0" showRowStripes="1" showColumnStripes="0"/>
</table>
</file>

<file path=xl/tables/table83.xml><?xml version="1.0" encoding="utf-8"?>
<table xmlns="http://schemas.openxmlformats.org/spreadsheetml/2006/main" id="70" name="Módulo562_84249171" displayName="Módulo562_84249171" ref="A112:D118" totalsRowCount="1">
  <autoFilter ref="A112:D117"/>
  <tableColumns count="4">
    <tableColumn id="1" name="5" totalsRowLabel="Total" dataDxfId="328"/>
    <tableColumn id="2" name="Insumos Diversos" dataDxfId="329"/>
    <tableColumn id="3" name="Comentário" dataDxfId="330"/>
    <tableColumn id="4" name="Valor" totalsRowFunction="custom">
      <totalsRowFormula>TRUNC(SUM((D113:D117)),2)</totalsRowFormula>
       dataDxfId="331"
    </tableColumn>
  </tableColumns>
  <tableStyleInfo showFirstColumn="0" showLastColumn="0" showRowStripes="1" showColumnStripes="0"/>
</table>
</file>

<file path=xl/tables/table84.xml><?xml version="1.0" encoding="utf-8"?>
<table xmlns="http://schemas.openxmlformats.org/spreadsheetml/2006/main" id="71" name="ResumoMódulo257_86309972" displayName="ResumoMódulo257_86309972" ref="A68:D72" totalsRowCount="1">
  <autoFilter ref="A68:D71"/>
  <tableColumns count="4">
    <tableColumn id="1" name="2" totalsRowLabel="Total" dataDxfId="332"/>
    <tableColumn id="2" name="Encargos e Benefícios Anuais, Mensais e Diários" dataDxfId="333"/>
    <tableColumn id="3" name="Comentário" dataDxfId="334"/>
    <tableColumn id="4" name="Valor" totalsRowFunction="custom">
      <totalsRowFormula>TRUNC(SUM(D69:D71),2)</totalsRowFormula>
       dataDxfId="335"
    </tableColumn>
  </tableColumns>
  <tableStyleInfo showFirstColumn="0" showLastColumn="0" showRowStripes="1" showColumnStripes="0"/>
</table>
</file>

<file path=xl/tables/table85.xml><?xml version="1.0" encoding="utf-8"?>
<table xmlns="http://schemas.openxmlformats.org/spreadsheetml/2006/main" id="72" name="Table452_822210073" displayName="Table452_822210073" ref="A16:D21" totalsRowShown="0">
  <tableColumns count="4">
    <tableColumn id="1" name="Item" dataDxfId="336"/>
    <tableColumn id="2" name="Descrição" dataDxfId="337"/>
    <tableColumn id="3" name="Comentário" dataDxfId="338"/>
    <tableColumn id="4" name="Valor" dataDxfId="339"/>
  </tableColumns>
  <tableStyleInfo showFirstColumn="0" showLastColumn="0" showRowStripes="1" showColumnStripes="0"/>
</table>
</file>

<file path=xl/tables/table86.xml><?xml version="1.0" encoding="utf-8"?>
<table xmlns="http://schemas.openxmlformats.org/spreadsheetml/2006/main" id="73" name="ResumoPosto64_90109474" displayName="ResumoPosto64_90109474" ref="A139:D147" totalsRowShown="0">
  <autoFilter ref="A139:D147"/>
  <tableColumns count="4">
    <tableColumn id="1" name="Item" dataDxfId="340"/>
    <tableColumn id="2" name="Mão de obra vinculada à execução contratual" dataDxfId="341"/>
    <tableColumn id="3" name="-" dataDxfId="342"/>
    <tableColumn id="4" name="Valor" dataDxfId="343"/>
  </tableColumns>
  <tableStyleInfo showFirstColumn="0" showLastColumn="0" showRowStripes="1" showColumnStripes="0"/>
</table>
</file>

<file path=xl/tables/table87.xml><?xml version="1.0" encoding="utf-8"?>
<table xmlns="http://schemas.openxmlformats.org/spreadsheetml/2006/main" id="74" name="Módulo358_832610375" displayName="Módulo358_832610375" ref="A75:D82" totalsRowCount="1">
  <autoFilter ref="A75:D81"/>
  <tableColumns count="4">
    <tableColumn id="1" name="3" totalsRowLabel="Total" dataDxfId="344"/>
    <tableColumn id="2" name="Provisão para Rescisão" dataDxfId="345"/>
    <tableColumn id="3" name="Percentual" totalsRowFunction="custom">
      <totalsRowFormula>SUM(C76:C81)</totalsRowFormula>
       dataDxfId="346"
    </tableColumn>
    <tableColumn id="4" name="Valor" totalsRowFunction="custom">
      <totalsRowFormula>TRUNC((SUM(D76:D81)),2)</totalsRowFormula>
       dataDxfId="347"
    </tableColumn>
  </tableColumns>
  <tableStyleInfo showFirstColumn="0" showLastColumn="0" showRowStripes="1" showColumnStripes="0"/>
</table>
</file>

<file path=xl/tables/table88.xml><?xml version="1.0" encoding="utf-8"?>
<table xmlns="http://schemas.openxmlformats.org/spreadsheetml/2006/main" id="75" name="ResumoMódulo461_88149576" displayName="ResumoMódulo461_88149576" ref="A106:D109" totalsRowCount="1">
  <autoFilter ref="A106:D108"/>
  <tableColumns count="4">
    <tableColumn id="1" name="4" totalsRowLabel="Total" dataDxfId="348"/>
    <tableColumn id="2" name="Custo de Reposição do Profissional Ausente" dataDxfId="349"/>
    <tableColumn id="3" name="Comentário" totalsRowLabel="*Nota: Se o titular USUFRUIR do descanso intrajornada, o total é o somatório dos subitens 4.1 e 4.2" dataDxfId="350"/>
    <tableColumn id="4" name="Valor" totalsRowFunction="custom">
      <totalsRowFormula>TRUNC((SUM(D107:D108)),2)</totalsRowFormula>
       dataDxfId="351"
    </tableColumn>
  </tableColumns>
  <tableStyleInfo showFirstColumn="0" showLastColumn="0" showRowStripes="1" showColumnStripes="0"/>
</table>
</file>

<file path=xl/tables/table89.xml><?xml version="1.0" encoding="utf-8"?>
<table xmlns="http://schemas.openxmlformats.org/spreadsheetml/2006/main" id="76" name="Módulo663_85329377" displayName="Módulo663_85329377" ref="A128:D135" totalsRowCount="1">
  <tableColumns count="4">
    <tableColumn id="1" name="6" totalsRowLabel="Total" dataDxfId="352"/>
    <tableColumn id="2" name="Custos Indiretos, Tributos e Lucro" dataDxfId="353"/>
    <tableColumn id="3" name="Percentual" dataDxfId="354"/>
    <tableColumn id="4" name="Valor" totalsRowFunction="custom">
      <totalsRowFormula>TRUNC(SUM(D129:D131),2)</totalsRowFormula>
       dataDxfId="355"
    </tableColumn>
  </tableColumns>
  <tableStyleInfo showFirstColumn="0" showLastColumn="0" showRowStripes="1" showColumnStripes="0"/>
</table>
</file>

<file path=xl/tables/table9.xml><?xml version="1.0" encoding="utf-8"?>
<table xmlns="http://schemas.openxmlformats.org/spreadsheetml/2006/main" id="35" name="Table84237" displayName="Table84237" ref="A78:D84" totalsRowShown="0">
  <autoFilter ref="A78:D84"/>
  <tableColumns count="4">
    <tableColumn id="1" name="Item" dataDxfId="32"/>
    <tableColumn id="2" name="Rubrica" dataDxfId="33"/>
    <tableColumn id="3" name="Base de Cálculo" dataDxfId="34"/>
    <tableColumn id="4" name="Memória de Cálculo" dataDxfId="35"/>
  </tableColumns>
  <tableStyleInfo showFirstColumn="0" showLastColumn="0" showRowStripes="1" showColumnStripes="0"/>
</table>
</file>

<file path=xl/tables/table90.xml><?xml version="1.0" encoding="utf-8"?>
<table xmlns="http://schemas.openxmlformats.org/spreadsheetml/2006/main" id="40" name="Módulo663_8532937741" displayName="Módulo663_8532937741" ref="A128:D135" totalsRowCount="1">
  <tableColumns count="4">
    <tableColumn id="1" name="6" totalsRowLabel="Total" dataDxfId="356"/>
    <tableColumn id="2" name="Custos Indiretos, Tributos e Lucro" dataDxfId="357"/>
    <tableColumn id="3" name="Percentual" dataDxfId="358"/>
    <tableColumn id="4" name="Valor" totalsRowFunction="custom">
      <totalsRowFormula>TRUNC(SUM(D129:D131),2)</totalsRowFormula>
       dataDxfId="359"
    </tableColumn>
  </tableColumns>
  <tableStyleInfo showFirstColumn="0" showLastColumn="0" showRowStripes="1" showColumnStripes="0"/>
</table>
</file>

<file path=xl/tables/table91.xml><?xml version="1.0" encoding="utf-8"?>
<table xmlns="http://schemas.openxmlformats.org/spreadsheetml/2006/main" id="41" name="ResumoMódulo461_8814957642" displayName="ResumoMódulo461_8814957642" ref="A106:D109" totalsRowCount="1">
  <autoFilter ref="A106:D108"/>
  <tableColumns count="4">
    <tableColumn id="1" name="4" totalsRowLabel="Total" dataDxfId="360"/>
    <tableColumn id="2" name="Custo de Reposição do Profissional Ausente" dataDxfId="361"/>
    <tableColumn id="3" name="Comentário" totalsRowLabel="*Nota: Se o titular USUFRUIR do descanso intrajornada, o total é o somatório dos subitens 4.1 e 4.2" dataDxfId="362"/>
    <tableColumn id="4" name="Valor" totalsRowFunction="custom">
      <totalsRowFormula>TRUNC((SUM(D107:D108)),2)</totalsRowFormula>
       dataDxfId="363"
    </tableColumn>
  </tableColumns>
  <tableStyleInfo showFirstColumn="0" showLastColumn="0" showRowStripes="1" showColumnStripes="0"/>
</table>
</file>

<file path=xl/tables/table92.xml><?xml version="1.0" encoding="utf-8"?>
<table xmlns="http://schemas.openxmlformats.org/spreadsheetml/2006/main" id="42" name="Submódulo4.159_8018986943" displayName="Submódulo4.159_8018986943" ref="A91:D98" totalsRowCount="1">
  <autoFilter ref="A91:D97"/>
  <tableColumns count="4">
    <tableColumn id="1" name="4.1" totalsRowLabel="Total" dataDxfId="364"/>
    <tableColumn id="2" name="Substituto nas Ausências Legais" dataDxfId="365"/>
    <tableColumn id="3" name="Percentual" totalsRowFunction="custom">
      <totalsRowFormula>SUM(C92:C97)</totalsRowFormula>
       dataDxfId="366"
    </tableColumn>
    <tableColumn id="4" name="Valor" totalsRowFunction="custom">
      <totalsRowFormula>TRUNC((SUM(D92:D97)),2)</totalsRowFormula>
       dataDxfId="367"
    </tableColumn>
  </tableColumns>
  <tableStyleInfo showFirstColumn="0" showLastColumn="0" showRowStripes="1" showColumnStripes="0"/>
</table>
</file>

<file path=xl/tables/table93.xml><?xml version="1.0" encoding="utf-8"?>
<table xmlns="http://schemas.openxmlformats.org/spreadsheetml/2006/main" id="43" name="Módulo562_8424917144" displayName="Módulo562_8424917144" ref="A112:D118" totalsRowCount="1">
  <autoFilter ref="A112:D117"/>
  <tableColumns count="4">
    <tableColumn id="1" name="5" totalsRowLabel="Total" dataDxfId="368"/>
    <tableColumn id="2" name="Insumos Diversos" dataDxfId="369"/>
    <tableColumn id="3" name="Comentário" dataDxfId="370"/>
    <tableColumn id="4" name="Valor" totalsRowFunction="custom">
      <totalsRowFormula>TRUNC(SUM((D113:D117)),2)</totalsRowFormula>
       dataDxfId="371"
    </tableColumn>
  </tableColumns>
  <tableStyleInfo showFirstColumn="0" showLastColumn="0" showRowStripes="1" showColumnStripes="0"/>
</table>
</file>

<file path=xl/tables/table94.xml><?xml version="1.0" encoding="utf-8"?>
<table xmlns="http://schemas.openxmlformats.org/spreadsheetml/2006/main" id="44" name="Table452_82221007345" displayName="Table452_82221007345" ref="A16:D21" totalsRowShown="0">
  <tableColumns count="4">
    <tableColumn id="1" name="Item" dataDxfId="372"/>
    <tableColumn id="2" name="Descrição" dataDxfId="373"/>
    <tableColumn id="3" name="Comentário" dataDxfId="374"/>
    <tableColumn id="4" name="Valor" dataDxfId="375"/>
  </tableColumns>
  <tableStyleInfo showFirstColumn="0" showLastColumn="0" showRowStripes="1" showColumnStripes="0"/>
</table>
</file>

<file path=xl/tables/table95.xml><?xml version="1.0" encoding="utf-8"?>
<table xmlns="http://schemas.openxmlformats.org/spreadsheetml/2006/main" id="45" name="Submódulo2.255_8916926646" displayName="Submódulo2.255_8916926646" ref="A46:D55" totalsRowCount="1">
  <autoFilter ref="A46:D54"/>
  <tableColumns count="4">
    <tableColumn id="1" name="2.2" totalsRowLabel="Total" dataDxfId="376"/>
    <tableColumn id="2" name="GPS, FGTS e outras contribuições" dataDxfId="377"/>
    <tableColumn id="3" name="Percentual" totalsRowFunction="custom">
      <totalsRowFormula>SUM(C47:C54)</totalsRowFormula>
       dataDxfId="378"
    </tableColumn>
    <tableColumn id="4" name="Valor " totalsRowFunction="custom">
      <totalsRowFormula>TRUNC((SUM(D47:D54)),2)</totalsRowFormula>
       dataDxfId="379"
    </tableColumn>
  </tableColumns>
  <tableStyleInfo showFirstColumn="0" showLastColumn="0" showRowStripes="1" showColumnStripes="0"/>
</table>
</file>

<file path=xl/tables/table96.xml><?xml version="1.0" encoding="utf-8"?>
<table xmlns="http://schemas.openxmlformats.org/spreadsheetml/2006/main" id="46" name="Submódulo4.260_81201026547" displayName="Submódulo4.260_81201026547" ref="A101:D103" totalsRowCount="1">
  <autoFilter ref="A101:D102"/>
  <tableColumns count="4">
    <tableColumn id="1" name="4.2" totalsRowLabel="Total" dataDxfId="380"/>
    <tableColumn id="2" name="Substituto na Intrajornada " dataDxfId="381"/>
    <tableColumn id="3" name="Comentário" dataDxfId="382"/>
    <tableColumn id="4" name="Valor" totalsRowFunction="custom">
      <totalsRowFormula>D102</totalsRowFormula>
       dataDxfId="383"
    </tableColumn>
  </tableColumns>
  <tableStyleInfo showFirstColumn="0" showLastColumn="0" showRowStripes="1" showColumnStripes="0"/>
</table>
</file>

<file path=xl/tables/table97.xml><?xml version="1.0" encoding="utf-8"?>
<table xmlns="http://schemas.openxmlformats.org/spreadsheetml/2006/main" id="47" name="Módulo358_83261037548" displayName="Módulo358_83261037548" ref="A75:D82" totalsRowCount="1">
  <autoFilter ref="A75:D81"/>
  <tableColumns count="4">
    <tableColumn id="1" name="3" totalsRowLabel="Total" dataDxfId="384"/>
    <tableColumn id="2" name="Provisão para Rescisão" dataDxfId="385"/>
    <tableColumn id="3" name="Percentual" totalsRowFunction="custom">
      <totalsRowFormula>SUM(C76:C81)</totalsRowFormula>
       dataDxfId="386"
    </tableColumn>
    <tableColumn id="4" name="Valor" totalsRowFunction="custom">
      <totalsRowFormula>TRUNC((SUM(D76:D81)),2)</totalsRowFormula>
       dataDxfId="387"
    </tableColumn>
  </tableColumns>
  <tableStyleInfo showFirstColumn="0" showLastColumn="0" showRowStripes="1" showColumnStripes="0"/>
</table>
</file>

<file path=xl/tables/table98.xml><?xml version="1.0" encoding="utf-8"?>
<table xmlns="http://schemas.openxmlformats.org/spreadsheetml/2006/main" id="48" name="Módulo153_7828966749" displayName="Módulo153_7828966749" ref="A24:D31" totalsRowCount="1">
  <autoFilter ref="A24:D30"/>
  <tableColumns count="4">
    <tableColumn id="1" name="1" totalsRowLabel="Total" dataDxfId="388"/>
    <tableColumn id="2" name="Composição da Remuneração" dataDxfId="389"/>
    <tableColumn id="3" name="Comentário" dataDxfId="390"/>
    <tableColumn id="4" name="Valor" totalsRowFunction="custom">
      <totalsRowFormula>TRUNC(SUM(D25:D30),2)</totalsRowFormula>
       dataDxfId="391"
    </tableColumn>
  </tableColumns>
  <tableStyleInfo showFirstColumn="0" showLastColumn="0" showRowStripes="1" showColumnStripes="0"/>
</table>
</file>

<file path=xl/tables/table99.xml><?xml version="1.0" encoding="utf-8"?>
<table xmlns="http://schemas.openxmlformats.org/spreadsheetml/2006/main" id="49" name="Submódulo2.154_8712977050" displayName="Submódulo2.154_8712977050" ref="A36:D39" totalsRowCount="1">
  <autoFilter ref="A36:D38"/>
  <tableColumns count="4">
    <tableColumn id="1" name="2.1" totalsRowLabel="Total" dataDxfId="392"/>
    <tableColumn id="2" name="13º (décimo terceiro) Salário, Férias e Adicional de Férias" dataDxfId="393"/>
    <tableColumn id="3" name="Percentual" dataDxfId="394"/>
    <tableColumn id="4" name="Valor" totalsRowFunction="custom">
      <totalsRowFormula>TRUNC((SUM(D37:D38)),2)</totalsRowFormula>
       dataDxfId="395"
    </tableColumn>
  </tableColumns>
  <tableStyleInfo showFirstColumn="0" showLastColumn="0" showRowStripes="1" showColumnStripes="0"/>
</table>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0.xml.rels><?xml version="1.0" encoding="UTF-8" standalone="yes"?>
<Relationships xmlns="http://schemas.openxmlformats.org/package/2006/relationships"><Relationship Id="rId9" Type="http://schemas.openxmlformats.org/officeDocument/2006/relationships/table" Target="../tables/table111.xml"/><Relationship Id="rId8" Type="http://schemas.openxmlformats.org/officeDocument/2006/relationships/table" Target="../tables/table110.xml"/><Relationship Id="rId7" Type="http://schemas.openxmlformats.org/officeDocument/2006/relationships/table" Target="../tables/table109.xml"/><Relationship Id="rId6" Type="http://schemas.openxmlformats.org/officeDocument/2006/relationships/table" Target="../tables/table108.xml"/><Relationship Id="rId5" Type="http://schemas.openxmlformats.org/officeDocument/2006/relationships/table" Target="../tables/table107.xml"/><Relationship Id="rId4" Type="http://schemas.openxmlformats.org/officeDocument/2006/relationships/table" Target="../tables/table106.xml"/><Relationship Id="rId3" Type="http://schemas.openxmlformats.org/officeDocument/2006/relationships/table" Target="../tables/table105.xml"/><Relationship Id="rId2" Type="http://schemas.openxmlformats.org/officeDocument/2006/relationships/table" Target="../tables/table104.xml"/><Relationship Id="rId13" Type="http://schemas.openxmlformats.org/officeDocument/2006/relationships/table" Target="../tables/table115.xml"/><Relationship Id="rId12" Type="http://schemas.openxmlformats.org/officeDocument/2006/relationships/table" Target="../tables/table114.xml"/><Relationship Id="rId11" Type="http://schemas.openxmlformats.org/officeDocument/2006/relationships/table" Target="../tables/table113.xml"/><Relationship Id="rId10" Type="http://schemas.openxmlformats.org/officeDocument/2006/relationships/table" Target="../tables/table112.xml"/><Relationship Id="rId1" Type="http://schemas.openxmlformats.org/officeDocument/2006/relationships/table" Target="../tables/table103.xml"/></Relationships>
</file>

<file path=xl/worksheets/_rels/sheet12.xml.rels><?xml version="1.0" encoding="UTF-8" standalone="yes"?>
<Relationships xmlns="http://schemas.openxmlformats.org/package/2006/relationships"><Relationship Id="rId3" Type="http://schemas.openxmlformats.org/officeDocument/2006/relationships/table" Target="../tables/table118.xml"/><Relationship Id="rId2" Type="http://schemas.openxmlformats.org/officeDocument/2006/relationships/table" Target="../tables/table117.xml"/><Relationship Id="rId1" Type="http://schemas.openxmlformats.org/officeDocument/2006/relationships/table" Target="../tables/table116.xml"/></Relationships>
</file>

<file path=xl/worksheets/_rels/sheet13.xml.rels><?xml version="1.0" encoding="UTF-8" standalone="yes"?>
<Relationships xmlns="http://schemas.openxmlformats.org/package/2006/relationships"><Relationship Id="rId2" Type="http://schemas.openxmlformats.org/officeDocument/2006/relationships/table" Target="../tables/table120.xml"/><Relationship Id="rId1" Type="http://schemas.openxmlformats.org/officeDocument/2006/relationships/table" Target="../tables/table119.xml"/></Relationships>
</file>

<file path=xl/worksheets/_rels/sheet15.xml.rels><?xml version="1.0" encoding="UTF-8" standalone="yes"?>
<Relationships xmlns="http://schemas.openxmlformats.org/package/2006/relationships"><Relationship Id="rId1" Type="http://schemas.openxmlformats.org/officeDocument/2006/relationships/table" Target="../tables/table121.xml"/></Relationships>
</file>

<file path=xl/worksheets/_rels/sheet2.xml.rels><?xml version="1.0" encoding="UTF-8" standalone="yes"?>
<Relationships xmlns="http://schemas.openxmlformats.org/package/2006/relationships"><Relationship Id="rId9" Type="http://schemas.openxmlformats.org/officeDocument/2006/relationships/table" Target="../tables/table9.xml"/><Relationship Id="rId8" Type="http://schemas.openxmlformats.org/officeDocument/2006/relationships/table" Target="../tables/table8.xml"/><Relationship Id="rId7" Type="http://schemas.openxmlformats.org/officeDocument/2006/relationships/table" Target="../tables/table7.xml"/><Relationship Id="rId6" Type="http://schemas.openxmlformats.org/officeDocument/2006/relationships/table" Target="../tables/table6.xml"/><Relationship Id="rId5" Type="http://schemas.openxmlformats.org/officeDocument/2006/relationships/table" Target="../tables/table5.xml"/><Relationship Id="rId4" Type="http://schemas.openxmlformats.org/officeDocument/2006/relationships/table" Target="../tables/table4.xml"/><Relationship Id="rId3" Type="http://schemas.openxmlformats.org/officeDocument/2006/relationships/table" Target="../tables/table3.xml"/><Relationship Id="rId2" Type="http://schemas.openxmlformats.org/officeDocument/2006/relationships/table" Target="../tables/table2.xml"/><Relationship Id="rId11" Type="http://schemas.openxmlformats.org/officeDocument/2006/relationships/table" Target="../tables/table11.xml"/><Relationship Id="rId10" Type="http://schemas.openxmlformats.org/officeDocument/2006/relationships/table" Target="../tables/table10.xml"/><Relationship Id="rId1" Type="http://schemas.openxmlformats.org/officeDocument/2006/relationships/table" Target="../tables/table1.xml"/></Relationships>
</file>

<file path=xl/worksheets/_rels/sheet3.xml.rels><?xml version="1.0" encoding="UTF-8" standalone="yes"?>
<Relationships xmlns="http://schemas.openxmlformats.org/package/2006/relationships"><Relationship Id="rId9" Type="http://schemas.openxmlformats.org/officeDocument/2006/relationships/table" Target="../tables/table20.xml"/><Relationship Id="rId8" Type="http://schemas.openxmlformats.org/officeDocument/2006/relationships/table" Target="../tables/table19.xml"/><Relationship Id="rId7" Type="http://schemas.openxmlformats.org/officeDocument/2006/relationships/table" Target="../tables/table18.xml"/><Relationship Id="rId6" Type="http://schemas.openxmlformats.org/officeDocument/2006/relationships/table" Target="../tables/table17.xml"/><Relationship Id="rId5" Type="http://schemas.openxmlformats.org/officeDocument/2006/relationships/table" Target="../tables/table16.xml"/><Relationship Id="rId4" Type="http://schemas.openxmlformats.org/officeDocument/2006/relationships/table" Target="../tables/table15.xml"/><Relationship Id="rId3" Type="http://schemas.openxmlformats.org/officeDocument/2006/relationships/table" Target="../tables/table14.xml"/><Relationship Id="rId2" Type="http://schemas.openxmlformats.org/officeDocument/2006/relationships/table" Target="../tables/table13.xml"/><Relationship Id="rId13" Type="http://schemas.openxmlformats.org/officeDocument/2006/relationships/table" Target="../tables/table24.xml"/><Relationship Id="rId12" Type="http://schemas.openxmlformats.org/officeDocument/2006/relationships/table" Target="../tables/table23.xml"/><Relationship Id="rId11" Type="http://schemas.openxmlformats.org/officeDocument/2006/relationships/table" Target="../tables/table22.xml"/><Relationship Id="rId10" Type="http://schemas.openxmlformats.org/officeDocument/2006/relationships/table" Target="../tables/table21.xml"/><Relationship Id="rId1" Type="http://schemas.openxmlformats.org/officeDocument/2006/relationships/table" Target="../tables/table12.xml"/></Relationships>
</file>

<file path=xl/worksheets/_rels/sheet4.xml.rels><?xml version="1.0" encoding="UTF-8" standalone="yes"?>
<Relationships xmlns="http://schemas.openxmlformats.org/package/2006/relationships"><Relationship Id="rId9" Type="http://schemas.openxmlformats.org/officeDocument/2006/relationships/table" Target="../tables/table33.xml"/><Relationship Id="rId8" Type="http://schemas.openxmlformats.org/officeDocument/2006/relationships/table" Target="../tables/table32.xml"/><Relationship Id="rId7" Type="http://schemas.openxmlformats.org/officeDocument/2006/relationships/table" Target="../tables/table31.xml"/><Relationship Id="rId6" Type="http://schemas.openxmlformats.org/officeDocument/2006/relationships/table" Target="../tables/table30.xml"/><Relationship Id="rId5" Type="http://schemas.openxmlformats.org/officeDocument/2006/relationships/table" Target="../tables/table29.xml"/><Relationship Id="rId4" Type="http://schemas.openxmlformats.org/officeDocument/2006/relationships/table" Target="../tables/table28.xml"/><Relationship Id="rId3" Type="http://schemas.openxmlformats.org/officeDocument/2006/relationships/table" Target="../tables/table27.xml"/><Relationship Id="rId2" Type="http://schemas.openxmlformats.org/officeDocument/2006/relationships/table" Target="../tables/table26.xml"/><Relationship Id="rId13" Type="http://schemas.openxmlformats.org/officeDocument/2006/relationships/table" Target="../tables/table37.xml"/><Relationship Id="rId12" Type="http://schemas.openxmlformats.org/officeDocument/2006/relationships/table" Target="../tables/table36.xml"/><Relationship Id="rId11" Type="http://schemas.openxmlformats.org/officeDocument/2006/relationships/table" Target="../tables/table35.xml"/><Relationship Id="rId10" Type="http://schemas.openxmlformats.org/officeDocument/2006/relationships/table" Target="../tables/table34.xml"/><Relationship Id="rId1" Type="http://schemas.openxmlformats.org/officeDocument/2006/relationships/table" Target="../tables/table25.xml"/></Relationships>
</file>

<file path=xl/worksheets/_rels/sheet5.xml.rels><?xml version="1.0" encoding="UTF-8" standalone="yes"?>
<Relationships xmlns="http://schemas.openxmlformats.org/package/2006/relationships"><Relationship Id="rId9" Type="http://schemas.openxmlformats.org/officeDocument/2006/relationships/table" Target="../tables/table46.xml"/><Relationship Id="rId8" Type="http://schemas.openxmlformats.org/officeDocument/2006/relationships/table" Target="../tables/table45.xml"/><Relationship Id="rId7" Type="http://schemas.openxmlformats.org/officeDocument/2006/relationships/table" Target="../tables/table44.xml"/><Relationship Id="rId6" Type="http://schemas.openxmlformats.org/officeDocument/2006/relationships/table" Target="../tables/table43.xml"/><Relationship Id="rId5" Type="http://schemas.openxmlformats.org/officeDocument/2006/relationships/table" Target="../tables/table42.xml"/><Relationship Id="rId4" Type="http://schemas.openxmlformats.org/officeDocument/2006/relationships/table" Target="../tables/table41.xml"/><Relationship Id="rId3" Type="http://schemas.openxmlformats.org/officeDocument/2006/relationships/table" Target="../tables/table40.xml"/><Relationship Id="rId2" Type="http://schemas.openxmlformats.org/officeDocument/2006/relationships/table" Target="../tables/table39.xml"/><Relationship Id="rId13" Type="http://schemas.openxmlformats.org/officeDocument/2006/relationships/table" Target="../tables/table50.xml"/><Relationship Id="rId12" Type="http://schemas.openxmlformats.org/officeDocument/2006/relationships/table" Target="../tables/table49.xml"/><Relationship Id="rId11" Type="http://schemas.openxmlformats.org/officeDocument/2006/relationships/table" Target="../tables/table48.xml"/><Relationship Id="rId10" Type="http://schemas.openxmlformats.org/officeDocument/2006/relationships/table" Target="../tables/table47.xml"/><Relationship Id="rId1" Type="http://schemas.openxmlformats.org/officeDocument/2006/relationships/table" Target="../tables/table38.xml"/></Relationships>
</file>

<file path=xl/worksheets/_rels/sheet6.xml.rels><?xml version="1.0" encoding="UTF-8" standalone="yes"?>
<Relationships xmlns="http://schemas.openxmlformats.org/package/2006/relationships"><Relationship Id="rId9" Type="http://schemas.openxmlformats.org/officeDocument/2006/relationships/table" Target="../tables/table59.xml"/><Relationship Id="rId8" Type="http://schemas.openxmlformats.org/officeDocument/2006/relationships/table" Target="../tables/table58.xml"/><Relationship Id="rId7" Type="http://schemas.openxmlformats.org/officeDocument/2006/relationships/table" Target="../tables/table57.xml"/><Relationship Id="rId6" Type="http://schemas.openxmlformats.org/officeDocument/2006/relationships/table" Target="../tables/table56.xml"/><Relationship Id="rId5" Type="http://schemas.openxmlformats.org/officeDocument/2006/relationships/table" Target="../tables/table55.xml"/><Relationship Id="rId4" Type="http://schemas.openxmlformats.org/officeDocument/2006/relationships/table" Target="../tables/table54.xml"/><Relationship Id="rId3" Type="http://schemas.openxmlformats.org/officeDocument/2006/relationships/table" Target="../tables/table53.xml"/><Relationship Id="rId2" Type="http://schemas.openxmlformats.org/officeDocument/2006/relationships/table" Target="../tables/table52.xml"/><Relationship Id="rId13" Type="http://schemas.openxmlformats.org/officeDocument/2006/relationships/table" Target="../tables/table63.xml"/><Relationship Id="rId12" Type="http://schemas.openxmlformats.org/officeDocument/2006/relationships/table" Target="../tables/table62.xml"/><Relationship Id="rId11" Type="http://schemas.openxmlformats.org/officeDocument/2006/relationships/table" Target="../tables/table61.xml"/><Relationship Id="rId10" Type="http://schemas.openxmlformats.org/officeDocument/2006/relationships/table" Target="../tables/table60.xml"/><Relationship Id="rId1" Type="http://schemas.openxmlformats.org/officeDocument/2006/relationships/table" Target="../tables/table51.xml"/></Relationships>
</file>

<file path=xl/worksheets/_rels/sheet7.xml.rels><?xml version="1.0" encoding="UTF-8" standalone="yes"?>
<Relationships xmlns="http://schemas.openxmlformats.org/package/2006/relationships"><Relationship Id="rId9" Type="http://schemas.openxmlformats.org/officeDocument/2006/relationships/table" Target="../tables/table72.xml"/><Relationship Id="rId8" Type="http://schemas.openxmlformats.org/officeDocument/2006/relationships/table" Target="../tables/table71.xml"/><Relationship Id="rId7" Type="http://schemas.openxmlformats.org/officeDocument/2006/relationships/table" Target="../tables/table70.xml"/><Relationship Id="rId6" Type="http://schemas.openxmlformats.org/officeDocument/2006/relationships/table" Target="../tables/table69.xml"/><Relationship Id="rId5" Type="http://schemas.openxmlformats.org/officeDocument/2006/relationships/table" Target="../tables/table68.xml"/><Relationship Id="rId4" Type="http://schemas.openxmlformats.org/officeDocument/2006/relationships/table" Target="../tables/table67.xml"/><Relationship Id="rId3" Type="http://schemas.openxmlformats.org/officeDocument/2006/relationships/table" Target="../tables/table66.xml"/><Relationship Id="rId2" Type="http://schemas.openxmlformats.org/officeDocument/2006/relationships/table" Target="../tables/table65.xml"/><Relationship Id="rId13" Type="http://schemas.openxmlformats.org/officeDocument/2006/relationships/table" Target="../tables/table76.xml"/><Relationship Id="rId12" Type="http://schemas.openxmlformats.org/officeDocument/2006/relationships/table" Target="../tables/table75.xml"/><Relationship Id="rId11" Type="http://schemas.openxmlformats.org/officeDocument/2006/relationships/table" Target="../tables/table74.xml"/><Relationship Id="rId10" Type="http://schemas.openxmlformats.org/officeDocument/2006/relationships/table" Target="../tables/table73.xml"/><Relationship Id="rId1" Type="http://schemas.openxmlformats.org/officeDocument/2006/relationships/table" Target="../tables/table64.xml"/></Relationships>
</file>

<file path=xl/worksheets/_rels/sheet8.xml.rels><?xml version="1.0" encoding="UTF-8" standalone="yes"?>
<Relationships xmlns="http://schemas.openxmlformats.org/package/2006/relationships"><Relationship Id="rId9" Type="http://schemas.openxmlformats.org/officeDocument/2006/relationships/table" Target="../tables/table85.xml"/><Relationship Id="rId8" Type="http://schemas.openxmlformats.org/officeDocument/2006/relationships/table" Target="../tables/table84.xml"/><Relationship Id="rId7" Type="http://schemas.openxmlformats.org/officeDocument/2006/relationships/table" Target="../tables/table83.xml"/><Relationship Id="rId6" Type="http://schemas.openxmlformats.org/officeDocument/2006/relationships/table" Target="../tables/table82.xml"/><Relationship Id="rId5" Type="http://schemas.openxmlformats.org/officeDocument/2006/relationships/table" Target="../tables/table81.xml"/><Relationship Id="rId4" Type="http://schemas.openxmlformats.org/officeDocument/2006/relationships/table" Target="../tables/table80.xml"/><Relationship Id="rId3" Type="http://schemas.openxmlformats.org/officeDocument/2006/relationships/table" Target="../tables/table79.xml"/><Relationship Id="rId2" Type="http://schemas.openxmlformats.org/officeDocument/2006/relationships/table" Target="../tables/table78.xml"/><Relationship Id="rId13" Type="http://schemas.openxmlformats.org/officeDocument/2006/relationships/table" Target="../tables/table89.xml"/><Relationship Id="rId12" Type="http://schemas.openxmlformats.org/officeDocument/2006/relationships/table" Target="../tables/table88.xml"/><Relationship Id="rId11" Type="http://schemas.openxmlformats.org/officeDocument/2006/relationships/table" Target="../tables/table87.xml"/><Relationship Id="rId10" Type="http://schemas.openxmlformats.org/officeDocument/2006/relationships/table" Target="../tables/table86.xml"/><Relationship Id="rId1" Type="http://schemas.openxmlformats.org/officeDocument/2006/relationships/table" Target="../tables/table77.xml"/></Relationships>
</file>

<file path=xl/worksheets/_rels/sheet9.xml.rels><?xml version="1.0" encoding="UTF-8" standalone="yes"?>
<Relationships xmlns="http://schemas.openxmlformats.org/package/2006/relationships"><Relationship Id="rId9" Type="http://schemas.openxmlformats.org/officeDocument/2006/relationships/table" Target="../tables/table98.xml"/><Relationship Id="rId8" Type="http://schemas.openxmlformats.org/officeDocument/2006/relationships/table" Target="../tables/table97.xml"/><Relationship Id="rId7" Type="http://schemas.openxmlformats.org/officeDocument/2006/relationships/table" Target="../tables/table96.xml"/><Relationship Id="rId6" Type="http://schemas.openxmlformats.org/officeDocument/2006/relationships/table" Target="../tables/table95.xml"/><Relationship Id="rId5" Type="http://schemas.openxmlformats.org/officeDocument/2006/relationships/table" Target="../tables/table94.xml"/><Relationship Id="rId4" Type="http://schemas.openxmlformats.org/officeDocument/2006/relationships/table" Target="../tables/table93.xml"/><Relationship Id="rId3" Type="http://schemas.openxmlformats.org/officeDocument/2006/relationships/table" Target="../tables/table92.xml"/><Relationship Id="rId2" Type="http://schemas.openxmlformats.org/officeDocument/2006/relationships/table" Target="../tables/table91.xml"/><Relationship Id="rId13" Type="http://schemas.openxmlformats.org/officeDocument/2006/relationships/table" Target="../tables/table102.xml"/><Relationship Id="rId12" Type="http://schemas.openxmlformats.org/officeDocument/2006/relationships/table" Target="../tables/table101.xml"/><Relationship Id="rId11" Type="http://schemas.openxmlformats.org/officeDocument/2006/relationships/table" Target="../tables/table100.xml"/><Relationship Id="rId10" Type="http://schemas.openxmlformats.org/officeDocument/2006/relationships/table" Target="../tables/table99.xml"/><Relationship Id="rId1" Type="http://schemas.openxmlformats.org/officeDocument/2006/relationships/table" Target="../tables/table90.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10" defaultRowHeight="15"/>
  <sheetData/>
  <pageMargins left="0.75" right="0.75" top="1" bottom="1" header="0.5" footer="0.5"/>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147"/>
  <sheetViews>
    <sheetView topLeftCell="A132" workbookViewId="0">
      <selection activeCell="A2" sqref="A2:D147"/>
    </sheetView>
  </sheetViews>
  <sheetFormatPr defaultColWidth="9.14285714285714" defaultRowHeight="15" outlineLevelCol="6"/>
  <cols>
    <col min="1" max="1" width="10.8571428571429" customWidth="1"/>
    <col min="2" max="2" width="55.2857142857143" customWidth="1"/>
    <col min="3" max="3" width="26.4285714285714" customWidth="1"/>
    <col min="4" max="4" width="37.5714285714286" customWidth="1"/>
    <col min="6" max="6" width="21.4285714285714" customWidth="1"/>
    <col min="7" max="7" width="14.5714285714286" customWidth="1"/>
  </cols>
  <sheetData>
    <row r="1" spans="1:7">
      <c r="A1" s="33"/>
      <c r="B1" s="33"/>
      <c r="C1" s="33"/>
      <c r="D1" s="33"/>
      <c r="E1" s="33"/>
      <c r="F1" s="33"/>
      <c r="G1" s="33"/>
    </row>
    <row r="2" ht="19.5" spans="1:7">
      <c r="A2" s="156" t="s">
        <v>163</v>
      </c>
      <c r="B2" s="156"/>
      <c r="C2" s="156"/>
      <c r="D2" s="156"/>
      <c r="E2" s="33"/>
      <c r="F2" s="33"/>
      <c r="G2" s="33"/>
    </row>
    <row r="3" ht="15.75" spans="1:7">
      <c r="A3" s="157" t="s">
        <v>228</v>
      </c>
      <c r="B3" s="157"/>
      <c r="C3" s="157"/>
      <c r="D3" s="157"/>
      <c r="E3" s="33"/>
      <c r="F3" s="33"/>
      <c r="G3" s="33"/>
    </row>
    <row r="4" spans="1:7">
      <c r="A4" s="158" t="s">
        <v>165</v>
      </c>
      <c r="B4" s="159" t="s">
        <v>166</v>
      </c>
      <c r="C4" s="160"/>
      <c r="D4" s="160"/>
      <c r="E4" s="33"/>
      <c r="F4" s="33"/>
      <c r="G4" s="33"/>
    </row>
    <row r="5" spans="1:7">
      <c r="A5" s="161"/>
      <c r="B5" s="162"/>
      <c r="C5" s="162"/>
      <c r="D5" s="162"/>
      <c r="E5" s="33"/>
      <c r="F5" s="33"/>
      <c r="G5" s="33"/>
    </row>
    <row r="6" ht="15.75" spans="1:7">
      <c r="A6" s="163" t="s">
        <v>167</v>
      </c>
      <c r="B6" s="163"/>
      <c r="C6" s="163"/>
      <c r="D6" s="163"/>
      <c r="E6" s="33"/>
      <c r="F6" s="33"/>
      <c r="G6" s="33"/>
    </row>
    <row r="7" ht="15.75" spans="1:7">
      <c r="A7" s="164" t="s">
        <v>28</v>
      </c>
      <c r="B7" s="165" t="s">
        <v>168</v>
      </c>
      <c r="C7" s="166" t="s">
        <v>169</v>
      </c>
      <c r="D7" s="166"/>
      <c r="E7" s="33"/>
      <c r="F7" s="33"/>
      <c r="G7" s="33"/>
    </row>
    <row r="8" spans="1:7">
      <c r="A8" s="167" t="s">
        <v>31</v>
      </c>
      <c r="B8" s="168" t="s">
        <v>170</v>
      </c>
      <c r="C8" s="169" t="s">
        <v>171</v>
      </c>
      <c r="D8" s="169"/>
      <c r="E8" s="33"/>
      <c r="F8" s="33"/>
      <c r="G8" s="33"/>
    </row>
    <row r="9" spans="1:7">
      <c r="A9" s="170" t="s">
        <v>34</v>
      </c>
      <c r="B9" s="171" t="s">
        <v>172</v>
      </c>
      <c r="C9" s="169" t="s">
        <v>229</v>
      </c>
      <c r="D9" s="169"/>
      <c r="E9" s="33"/>
      <c r="F9" s="33"/>
      <c r="G9" s="33"/>
    </row>
    <row r="10" spans="1:7">
      <c r="A10" s="167" t="s">
        <v>39</v>
      </c>
      <c r="B10" s="168" t="s">
        <v>174</v>
      </c>
      <c r="C10" s="169" t="s">
        <v>175</v>
      </c>
      <c r="D10" s="169"/>
      <c r="E10" s="33"/>
      <c r="F10" s="33"/>
      <c r="G10" s="33"/>
    </row>
    <row r="11" ht="15.75" spans="1:7">
      <c r="A11" s="172" t="s">
        <v>176</v>
      </c>
      <c r="B11" s="172"/>
      <c r="C11" s="172"/>
      <c r="D11" s="172"/>
      <c r="E11" s="33"/>
      <c r="F11" s="33"/>
      <c r="G11" s="33"/>
    </row>
    <row r="12" ht="16.5" spans="1:7">
      <c r="A12" s="173" t="s">
        <v>177</v>
      </c>
      <c r="B12" s="173"/>
      <c r="C12" s="172" t="s">
        <v>178</v>
      </c>
      <c r="D12" s="174" t="s">
        <v>179</v>
      </c>
      <c r="E12" s="33"/>
      <c r="F12" s="33"/>
      <c r="G12" s="33"/>
    </row>
    <row r="13" ht="15.75" spans="1:7">
      <c r="A13" s="175" t="s">
        <v>242</v>
      </c>
      <c r="B13" s="175"/>
      <c r="C13" s="169" t="s">
        <v>181</v>
      </c>
      <c r="D13" s="176">
        <f>RESUMO!D10</f>
        <v>1</v>
      </c>
      <c r="E13" s="33"/>
      <c r="F13" s="33"/>
      <c r="G13" s="33"/>
    </row>
    <row r="14" spans="1:7">
      <c r="A14" s="177"/>
      <c r="B14" s="177"/>
      <c r="C14" s="169"/>
      <c r="D14" s="178"/>
      <c r="E14" s="33"/>
      <c r="F14" s="33"/>
      <c r="G14" s="33"/>
    </row>
    <row r="15" ht="15.75" spans="1:7">
      <c r="A15" s="172" t="s">
        <v>0</v>
      </c>
      <c r="B15" s="172"/>
      <c r="C15" s="172"/>
      <c r="D15" s="172"/>
      <c r="E15" s="33"/>
      <c r="F15" s="179"/>
      <c r="G15" s="179"/>
    </row>
    <row r="16" ht="15.75" spans="1:7">
      <c r="A16" s="180" t="s">
        <v>2</v>
      </c>
      <c r="B16" s="33" t="s">
        <v>3</v>
      </c>
      <c r="C16" s="180" t="s">
        <v>4</v>
      </c>
      <c r="D16" s="180" t="s">
        <v>5</v>
      </c>
      <c r="E16" s="33"/>
      <c r="F16" s="33"/>
      <c r="G16" s="33"/>
    </row>
    <row r="17" spans="1:7">
      <c r="A17" s="180">
        <v>1</v>
      </c>
      <c r="B17" s="33" t="s">
        <v>6</v>
      </c>
      <c r="C17" s="181" t="s">
        <v>88</v>
      </c>
      <c r="D17" s="181" t="str">
        <f>A13</f>
        <v>Jardineiro</v>
      </c>
      <c r="E17" s="33"/>
      <c r="F17" s="33"/>
      <c r="G17" s="33"/>
    </row>
    <row r="18" spans="1:7">
      <c r="A18" s="180">
        <v>2</v>
      </c>
      <c r="B18" s="33" t="s">
        <v>9</v>
      </c>
      <c r="C18" s="181" t="s">
        <v>182</v>
      </c>
      <c r="D18" s="181" t="s">
        <v>243</v>
      </c>
      <c r="E18" s="33"/>
      <c r="F18" s="33"/>
      <c r="G18" s="33"/>
    </row>
    <row r="19" spans="1:7">
      <c r="A19" s="180">
        <v>3</v>
      </c>
      <c r="B19" s="33" t="s">
        <v>12</v>
      </c>
      <c r="C19" s="181" t="str">
        <f>C9</f>
        <v>CCT PB 000047/2021</v>
      </c>
      <c r="D19" s="182">
        <v>1124</v>
      </c>
      <c r="E19" s="33"/>
      <c r="F19" s="33"/>
      <c r="G19" s="33"/>
    </row>
    <row r="20" spans="1:7">
      <c r="A20" s="180">
        <v>4</v>
      </c>
      <c r="B20" s="33" t="s">
        <v>15</v>
      </c>
      <c r="C20" s="181" t="str">
        <f>C9</f>
        <v>CCT PB 000047/2021</v>
      </c>
      <c r="D20" s="181" t="s">
        <v>184</v>
      </c>
      <c r="E20" s="33"/>
      <c r="F20" s="33"/>
      <c r="G20" s="33"/>
    </row>
    <row r="21" spans="1:7">
      <c r="A21" s="180">
        <v>5</v>
      </c>
      <c r="B21" s="33" t="s">
        <v>19</v>
      </c>
      <c r="C21" s="181" t="str">
        <f>C9</f>
        <v>CCT PB 000047/2021</v>
      </c>
      <c r="D21" s="183" t="s">
        <v>185</v>
      </c>
      <c r="E21" s="33"/>
      <c r="F21" s="33"/>
      <c r="G21" s="33"/>
    </row>
    <row r="22" spans="1:7">
      <c r="A22" s="33"/>
      <c r="B22" s="33"/>
      <c r="C22" s="33"/>
      <c r="D22" s="33"/>
      <c r="E22" s="33"/>
      <c r="F22" s="179"/>
      <c r="G22" s="179"/>
    </row>
    <row r="23" spans="1:7">
      <c r="A23" s="163" t="s">
        <v>22</v>
      </c>
      <c r="B23" s="163"/>
      <c r="C23" s="163"/>
      <c r="D23" s="163"/>
      <c r="E23" s="33"/>
      <c r="F23" s="33"/>
      <c r="G23" s="33"/>
    </row>
    <row r="24" spans="1:7">
      <c r="A24" s="180" t="s">
        <v>25</v>
      </c>
      <c r="B24" s="33" t="s">
        <v>26</v>
      </c>
      <c r="C24" s="180" t="s">
        <v>4</v>
      </c>
      <c r="D24" s="180" t="s">
        <v>5</v>
      </c>
      <c r="E24" s="33"/>
      <c r="F24" s="33"/>
      <c r="G24" s="184"/>
    </row>
    <row r="25" spans="1:7">
      <c r="A25" s="180" t="s">
        <v>28</v>
      </c>
      <c r="B25" s="33" t="s">
        <v>29</v>
      </c>
      <c r="C25" s="181" t="s">
        <v>221</v>
      </c>
      <c r="D25" s="182">
        <f>D19</f>
        <v>1124</v>
      </c>
      <c r="E25" s="33"/>
      <c r="F25" s="33"/>
      <c r="G25" s="184"/>
    </row>
    <row r="26" spans="1:7">
      <c r="A26" s="180" t="s">
        <v>31</v>
      </c>
      <c r="B26" s="33" t="s">
        <v>32</v>
      </c>
      <c r="C26" s="181"/>
      <c r="D26" s="182">
        <v>0</v>
      </c>
      <c r="E26" s="33"/>
      <c r="F26" s="33"/>
      <c r="G26" s="184"/>
    </row>
    <row r="27" spans="1:7">
      <c r="A27" s="180" t="s">
        <v>34</v>
      </c>
      <c r="B27" s="33" t="s">
        <v>35</v>
      </c>
      <c r="C27" s="181"/>
      <c r="D27" s="182">
        <v>0</v>
      </c>
      <c r="E27" s="33"/>
      <c r="F27" s="33"/>
      <c r="G27" s="33"/>
    </row>
    <row r="28" spans="1:7">
      <c r="A28" s="180" t="s">
        <v>36</v>
      </c>
      <c r="B28" s="33" t="s">
        <v>37</v>
      </c>
      <c r="C28" s="181"/>
      <c r="D28" s="182">
        <v>0</v>
      </c>
      <c r="E28" s="33"/>
      <c r="F28" s="33"/>
      <c r="G28" s="33"/>
    </row>
    <row r="29" spans="1:7">
      <c r="A29" s="180" t="s">
        <v>39</v>
      </c>
      <c r="B29" s="33" t="s">
        <v>40</v>
      </c>
      <c r="C29" s="181"/>
      <c r="D29" s="182">
        <v>0</v>
      </c>
      <c r="E29" s="33"/>
      <c r="F29" s="33"/>
      <c r="G29" s="33"/>
    </row>
    <row r="30" spans="1:7">
      <c r="A30" s="180" t="s">
        <v>41</v>
      </c>
      <c r="B30" s="33" t="s">
        <v>42</v>
      </c>
      <c r="C30" s="181"/>
      <c r="D30" s="182">
        <v>0</v>
      </c>
      <c r="E30" s="33"/>
      <c r="F30" s="33"/>
      <c r="G30" s="33"/>
    </row>
    <row r="31" spans="1:7">
      <c r="A31" s="180" t="s">
        <v>44</v>
      </c>
      <c r="B31" s="33"/>
      <c r="C31" s="180"/>
      <c r="D31" s="185">
        <f>TRUNC(SUM(D25:D30),2)</f>
        <v>1124</v>
      </c>
      <c r="E31" s="33"/>
      <c r="F31" s="179"/>
      <c r="G31" s="179"/>
    </row>
    <row r="32" spans="1:7">
      <c r="A32" s="33"/>
      <c r="B32" s="33"/>
      <c r="C32" s="33"/>
      <c r="D32" s="33"/>
      <c r="E32" s="33"/>
      <c r="F32" s="33"/>
      <c r="G32" s="33"/>
    </row>
    <row r="33" spans="1:7">
      <c r="A33" s="186" t="s">
        <v>47</v>
      </c>
      <c r="B33" s="186"/>
      <c r="C33" s="186"/>
      <c r="D33" s="186"/>
      <c r="E33" s="33"/>
      <c r="F33" s="33"/>
      <c r="G33" s="184"/>
    </row>
    <row r="34" spans="1:7">
      <c r="A34" s="33"/>
      <c r="B34" s="33"/>
      <c r="C34" s="33"/>
      <c r="D34" s="33"/>
      <c r="E34" s="33"/>
      <c r="F34" s="33"/>
      <c r="G34" s="33"/>
    </row>
    <row r="35" spans="1:7">
      <c r="A35" s="179" t="s">
        <v>49</v>
      </c>
      <c r="B35" s="179"/>
      <c r="C35" s="179"/>
      <c r="D35" s="179"/>
      <c r="E35" s="33"/>
      <c r="F35" s="33"/>
      <c r="G35" s="33"/>
    </row>
    <row r="36" spans="1:7">
      <c r="A36" s="180" t="s">
        <v>51</v>
      </c>
      <c r="B36" s="33" t="s">
        <v>52</v>
      </c>
      <c r="C36" s="180" t="s">
        <v>24</v>
      </c>
      <c r="D36" s="180" t="s">
        <v>5</v>
      </c>
      <c r="E36" s="33"/>
      <c r="F36" s="33"/>
      <c r="G36" s="33"/>
    </row>
    <row r="37" spans="1:7">
      <c r="A37" s="180" t="s">
        <v>28</v>
      </c>
      <c r="B37" s="33" t="s">
        <v>53</v>
      </c>
      <c r="C37" s="187">
        <f>(1/12)</f>
        <v>0.0833333333333333</v>
      </c>
      <c r="D37" s="185">
        <f>TRUNC($D$31*C37,2)</f>
        <v>93.66</v>
      </c>
      <c r="E37" s="33"/>
      <c r="F37" s="188"/>
      <c r="G37" s="188"/>
    </row>
    <row r="38" spans="1:7">
      <c r="A38" s="180" t="s">
        <v>31</v>
      </c>
      <c r="B38" s="33" t="s">
        <v>54</v>
      </c>
      <c r="C38" s="187">
        <f>(((1+1/3)/12))</f>
        <v>0.111111111111111</v>
      </c>
      <c r="D38" s="185">
        <f>TRUNC($D$31*C38,2)</f>
        <v>124.88</v>
      </c>
      <c r="E38" s="33"/>
      <c r="F38" s="188"/>
      <c r="G38" s="188"/>
    </row>
    <row r="39" spans="1:7">
      <c r="A39" s="180" t="s">
        <v>44</v>
      </c>
      <c r="B39" s="33"/>
      <c r="C39" s="33"/>
      <c r="D39" s="185">
        <f>TRUNC((SUM(D37:D38)),2)</f>
        <v>218.54</v>
      </c>
      <c r="E39" s="33"/>
      <c r="F39" s="188"/>
      <c r="G39" s="188"/>
    </row>
    <row r="40" ht="15.75" spans="1:7">
      <c r="A40" s="33"/>
      <c r="B40" s="33"/>
      <c r="C40" s="33"/>
      <c r="D40" s="185"/>
      <c r="E40" s="33"/>
      <c r="F40" s="188"/>
      <c r="G40" s="188"/>
    </row>
    <row r="41" ht="16.5" spans="1:7">
      <c r="A41" s="189" t="s">
        <v>187</v>
      </c>
      <c r="B41" s="189"/>
      <c r="C41" s="190" t="s">
        <v>188</v>
      </c>
      <c r="D41" s="191">
        <f>D31</f>
        <v>1124</v>
      </c>
      <c r="E41" s="33"/>
      <c r="F41" s="188"/>
      <c r="G41" s="188"/>
    </row>
    <row r="42" ht="16.5" spans="1:7">
      <c r="A42" s="189"/>
      <c r="B42" s="189"/>
      <c r="C42" s="192" t="s">
        <v>189</v>
      </c>
      <c r="D42" s="191">
        <f>D39</f>
        <v>218.54</v>
      </c>
      <c r="E42" s="33"/>
      <c r="F42" s="188"/>
      <c r="G42" s="188"/>
    </row>
    <row r="43" ht="16.5" spans="1:7">
      <c r="A43" s="189"/>
      <c r="B43" s="189"/>
      <c r="C43" s="190" t="s">
        <v>190</v>
      </c>
      <c r="D43" s="193">
        <f>TRUNC((SUM(D41:D42)),2)</f>
        <v>1342.54</v>
      </c>
      <c r="E43" s="33"/>
      <c r="F43" s="188"/>
      <c r="G43" s="188"/>
    </row>
    <row r="44" ht="15.75" spans="1:7">
      <c r="A44" s="180"/>
      <c r="B44" s="33"/>
      <c r="C44" s="194"/>
      <c r="D44" s="185"/>
      <c r="E44" s="33"/>
      <c r="F44" s="188"/>
      <c r="G44" s="188"/>
    </row>
    <row r="45" spans="1:7">
      <c r="A45" s="179" t="s">
        <v>63</v>
      </c>
      <c r="B45" s="179"/>
      <c r="C45" s="179"/>
      <c r="D45" s="179"/>
      <c r="E45" s="33"/>
      <c r="F45" s="33"/>
      <c r="G45" s="33"/>
    </row>
    <row r="46" spans="1:7">
      <c r="A46" s="180" t="s">
        <v>64</v>
      </c>
      <c r="B46" s="33" t="s">
        <v>65</v>
      </c>
      <c r="C46" s="180" t="s">
        <v>24</v>
      </c>
      <c r="D46" s="180" t="s">
        <v>66</v>
      </c>
      <c r="E46" s="33"/>
      <c r="F46" s="33"/>
      <c r="G46" s="33"/>
    </row>
    <row r="47" spans="1:7">
      <c r="A47" s="180" t="s">
        <v>28</v>
      </c>
      <c r="B47" s="33" t="s">
        <v>67</v>
      </c>
      <c r="C47" s="187">
        <v>0.2</v>
      </c>
      <c r="D47" s="185">
        <f t="shared" ref="D47:D54" si="0">TRUNC(($D$43*C47),2)</f>
        <v>268.5</v>
      </c>
      <c r="E47" s="33"/>
      <c r="F47" s="33"/>
      <c r="G47" s="33"/>
    </row>
    <row r="48" spans="1:7">
      <c r="A48" s="180" t="s">
        <v>31</v>
      </c>
      <c r="B48" s="33" t="s">
        <v>68</v>
      </c>
      <c r="C48" s="187">
        <v>0.025</v>
      </c>
      <c r="D48" s="185">
        <f t="shared" si="0"/>
        <v>33.56</v>
      </c>
      <c r="E48" s="33"/>
      <c r="F48" s="33"/>
      <c r="G48" s="33"/>
    </row>
    <row r="49" spans="1:7">
      <c r="A49" s="180" t="s">
        <v>34</v>
      </c>
      <c r="B49" s="33" t="s">
        <v>191</v>
      </c>
      <c r="C49" s="195">
        <v>0.06</v>
      </c>
      <c r="D49" s="182">
        <f t="shared" si="0"/>
        <v>80.55</v>
      </c>
      <c r="E49" s="33"/>
      <c r="F49" s="33"/>
      <c r="G49" s="33"/>
    </row>
    <row r="50" spans="1:7">
      <c r="A50" s="180" t="s">
        <v>36</v>
      </c>
      <c r="B50" s="33" t="s">
        <v>70</v>
      </c>
      <c r="C50" s="187">
        <v>0.015</v>
      </c>
      <c r="D50" s="185">
        <f t="shared" si="0"/>
        <v>20.13</v>
      </c>
      <c r="E50" s="33"/>
      <c r="F50" s="33"/>
      <c r="G50" s="33"/>
    </row>
    <row r="51" spans="1:7">
      <c r="A51" s="180" t="s">
        <v>39</v>
      </c>
      <c r="B51" s="33" t="s">
        <v>71</v>
      </c>
      <c r="C51" s="187">
        <v>0.01</v>
      </c>
      <c r="D51" s="185">
        <f t="shared" si="0"/>
        <v>13.42</v>
      </c>
      <c r="E51" s="33"/>
      <c r="F51" s="33"/>
      <c r="G51" s="33"/>
    </row>
    <row r="52" spans="1:7">
      <c r="A52" s="180" t="s">
        <v>41</v>
      </c>
      <c r="B52" s="33" t="s">
        <v>72</v>
      </c>
      <c r="C52" s="187">
        <v>0.006</v>
      </c>
      <c r="D52" s="185">
        <f t="shared" si="0"/>
        <v>8.05</v>
      </c>
      <c r="E52" s="33"/>
      <c r="F52" s="33"/>
      <c r="G52" s="33"/>
    </row>
    <row r="53" spans="1:7">
      <c r="A53" s="180" t="s">
        <v>73</v>
      </c>
      <c r="B53" s="33" t="s">
        <v>74</v>
      </c>
      <c r="C53" s="187">
        <v>0.002</v>
      </c>
      <c r="D53" s="185">
        <f t="shared" si="0"/>
        <v>2.68</v>
      </c>
      <c r="E53" s="33"/>
      <c r="F53" s="33"/>
      <c r="G53" s="33"/>
    </row>
    <row r="54" spans="1:7">
      <c r="A54" s="180" t="s">
        <v>75</v>
      </c>
      <c r="B54" s="33" t="s">
        <v>76</v>
      </c>
      <c r="C54" s="187">
        <v>0.08</v>
      </c>
      <c r="D54" s="185">
        <f t="shared" si="0"/>
        <v>107.4</v>
      </c>
      <c r="E54" s="33"/>
      <c r="F54" s="33"/>
      <c r="G54" s="33"/>
    </row>
    <row r="55" spans="1:7">
      <c r="A55" s="180" t="s">
        <v>44</v>
      </c>
      <c r="B55" s="33"/>
      <c r="C55" s="194">
        <f>SUM(C47:C54)</f>
        <v>0.398</v>
      </c>
      <c r="D55" s="185">
        <f>TRUNC((SUM(D47:D54)),2)</f>
        <v>534.29</v>
      </c>
      <c r="E55" s="33"/>
      <c r="F55" s="33"/>
      <c r="G55" s="33"/>
    </row>
    <row r="56" spans="1:7">
      <c r="A56" s="180"/>
      <c r="B56" s="33"/>
      <c r="C56" s="194"/>
      <c r="D56" s="185"/>
      <c r="E56" s="33"/>
      <c r="F56" s="33"/>
      <c r="G56" s="33"/>
    </row>
    <row r="57" spans="1:7">
      <c r="A57" s="179" t="s">
        <v>81</v>
      </c>
      <c r="B57" s="179"/>
      <c r="C57" s="179"/>
      <c r="D57" s="179"/>
      <c r="E57" s="33"/>
      <c r="F57" s="33"/>
      <c r="G57" s="33"/>
    </row>
    <row r="58" spans="1:7">
      <c r="A58" s="180" t="s">
        <v>82</v>
      </c>
      <c r="B58" s="33" t="s">
        <v>83</v>
      </c>
      <c r="C58" s="180" t="s">
        <v>4</v>
      </c>
      <c r="D58" s="180" t="s">
        <v>5</v>
      </c>
      <c r="E58" s="33"/>
      <c r="F58" s="33"/>
      <c r="G58" s="33"/>
    </row>
    <row r="59" spans="1:7">
      <c r="A59" s="180" t="s">
        <v>28</v>
      </c>
      <c r="B59" s="33" t="s">
        <v>84</v>
      </c>
      <c r="C59" s="181"/>
      <c r="D59" s="196">
        <f>TRUNC(((22*4.35)*2)-((D25/100)*6),2)</f>
        <v>123.96</v>
      </c>
      <c r="E59" s="33"/>
      <c r="F59" s="33"/>
      <c r="G59" s="33"/>
    </row>
    <row r="60" spans="1:7">
      <c r="A60" s="180" t="s">
        <v>31</v>
      </c>
      <c r="B60" s="33" t="s">
        <v>85</v>
      </c>
      <c r="C60" s="181" t="str">
        <f>C9</f>
        <v>CCT PB 000047/2021</v>
      </c>
      <c r="D60" s="196">
        <f>TRUNC((((22*18))-(((22*18))*0.2)),2)</f>
        <v>316.8</v>
      </c>
      <c r="E60" s="33"/>
      <c r="F60" s="33"/>
      <c r="G60" s="33"/>
    </row>
    <row r="61" spans="1:7">
      <c r="A61" s="180" t="s">
        <v>34</v>
      </c>
      <c r="B61" s="33" t="s">
        <v>86</v>
      </c>
      <c r="C61" s="181"/>
      <c r="D61" s="196">
        <v>0</v>
      </c>
      <c r="E61" s="33"/>
      <c r="F61" s="33"/>
      <c r="G61" s="33"/>
    </row>
    <row r="62" spans="1:7">
      <c r="A62" s="94" t="s">
        <v>36</v>
      </c>
      <c r="B62" s="197" t="s">
        <v>234</v>
      </c>
      <c r="C62" s="196"/>
      <c r="D62" s="196">
        <v>0</v>
      </c>
      <c r="E62" s="33"/>
      <c r="F62" s="197"/>
      <c r="G62" s="33"/>
    </row>
    <row r="63" spans="1:7">
      <c r="A63" s="180" t="s">
        <v>39</v>
      </c>
      <c r="B63" s="33" t="s">
        <v>193</v>
      </c>
      <c r="C63" s="181" t="str">
        <f>C9</f>
        <v>CCT PB 000047/2021</v>
      </c>
      <c r="D63" s="198">
        <v>15</v>
      </c>
      <c r="E63" s="33"/>
      <c r="F63" s="33"/>
      <c r="G63" s="33"/>
    </row>
    <row r="64" spans="1:7">
      <c r="A64" s="180" t="s">
        <v>41</v>
      </c>
      <c r="B64" s="199" t="s">
        <v>194</v>
      </c>
      <c r="C64" s="196" t="str">
        <f>C9</f>
        <v>CCT PB 000047/2021</v>
      </c>
      <c r="D64" s="198">
        <v>5</v>
      </c>
      <c r="E64" s="33"/>
      <c r="F64" s="33"/>
      <c r="G64" s="33"/>
    </row>
    <row r="65" spans="1:7">
      <c r="A65" s="180" t="s">
        <v>44</v>
      </c>
      <c r="B65" s="33"/>
      <c r="C65" s="33"/>
      <c r="D65" s="200">
        <f>TRUNC((SUM(D59:D64)),2)</f>
        <v>460.76</v>
      </c>
      <c r="E65" s="33"/>
      <c r="F65" s="33"/>
      <c r="G65" s="33"/>
    </row>
    <row r="66" spans="1:7">
      <c r="A66" s="180"/>
      <c r="B66" s="33"/>
      <c r="C66" s="33"/>
      <c r="D66" s="185"/>
      <c r="E66" s="33"/>
      <c r="F66" s="33"/>
      <c r="G66" s="33"/>
    </row>
    <row r="67" spans="1:7">
      <c r="A67" s="179" t="s">
        <v>91</v>
      </c>
      <c r="B67" s="179"/>
      <c r="C67" s="179"/>
      <c r="D67" s="179"/>
      <c r="E67" s="33"/>
      <c r="F67" s="33"/>
      <c r="G67" s="33"/>
    </row>
    <row r="68" spans="1:7">
      <c r="A68" s="180" t="s">
        <v>92</v>
      </c>
      <c r="B68" s="33" t="s">
        <v>93</v>
      </c>
      <c r="C68" s="180" t="s">
        <v>4</v>
      </c>
      <c r="D68" s="180" t="s">
        <v>5</v>
      </c>
      <c r="E68" s="33"/>
      <c r="F68" s="33"/>
      <c r="G68" s="33"/>
    </row>
    <row r="69" spans="1:7">
      <c r="A69" s="180" t="s">
        <v>51</v>
      </c>
      <c r="B69" s="33" t="s">
        <v>52</v>
      </c>
      <c r="C69" s="180"/>
      <c r="D69" s="185">
        <f>D39</f>
        <v>218.54</v>
      </c>
      <c r="E69" s="33"/>
      <c r="F69" s="33"/>
      <c r="G69" s="33"/>
    </row>
    <row r="70" spans="1:7">
      <c r="A70" s="180" t="s">
        <v>64</v>
      </c>
      <c r="B70" s="33" t="s">
        <v>65</v>
      </c>
      <c r="C70" s="180"/>
      <c r="D70" s="185">
        <f>D55</f>
        <v>534.29</v>
      </c>
      <c r="E70" s="33"/>
      <c r="F70" s="33"/>
      <c r="G70" s="33"/>
    </row>
    <row r="71" spans="1:7">
      <c r="A71" s="180" t="s">
        <v>82</v>
      </c>
      <c r="B71" s="33" t="s">
        <v>83</v>
      </c>
      <c r="C71" s="180"/>
      <c r="D71" s="185">
        <f>D65</f>
        <v>460.76</v>
      </c>
      <c r="E71" s="33"/>
      <c r="F71" s="33"/>
      <c r="G71" s="33"/>
    </row>
    <row r="72" spans="1:7">
      <c r="A72" s="180" t="s">
        <v>44</v>
      </c>
      <c r="B72" s="33"/>
      <c r="C72" s="180"/>
      <c r="D72" s="185">
        <f>TRUNC(SUM(D69:D71),2)</f>
        <v>1213.59</v>
      </c>
      <c r="E72" s="33"/>
      <c r="F72" s="33"/>
      <c r="G72" s="33"/>
    </row>
    <row r="73" spans="1:7">
      <c r="A73" s="33"/>
      <c r="B73" s="33"/>
      <c r="C73" s="33"/>
      <c r="D73" s="33"/>
      <c r="E73" s="33"/>
      <c r="F73" s="33"/>
      <c r="G73" s="33"/>
    </row>
    <row r="74" spans="1:7">
      <c r="A74" s="163" t="s">
        <v>94</v>
      </c>
      <c r="B74" s="163"/>
      <c r="C74" s="163"/>
      <c r="D74" s="163"/>
      <c r="E74" s="33"/>
      <c r="F74" s="33"/>
      <c r="G74" s="33"/>
    </row>
    <row r="75" spans="1:7">
      <c r="A75" s="180" t="s">
        <v>95</v>
      </c>
      <c r="B75" s="33" t="s">
        <v>96</v>
      </c>
      <c r="C75" s="180" t="s">
        <v>24</v>
      </c>
      <c r="D75" s="180" t="s">
        <v>5</v>
      </c>
      <c r="E75" s="33"/>
      <c r="F75" s="33"/>
      <c r="G75" s="33"/>
    </row>
    <row r="76" spans="1:7">
      <c r="A76" s="180" t="s">
        <v>28</v>
      </c>
      <c r="B76" s="33" t="s">
        <v>97</v>
      </c>
      <c r="C76" s="195">
        <f>((1/12)*5%)</f>
        <v>0.00416666666666667</v>
      </c>
      <c r="D76" s="196">
        <f t="shared" ref="D76:D79" si="1">TRUNC(($D$31*C76),2)</f>
        <v>4.68</v>
      </c>
      <c r="E76" s="33"/>
      <c r="F76" s="33"/>
      <c r="G76" s="33"/>
    </row>
    <row r="77" spans="1:7">
      <c r="A77" s="180" t="s">
        <v>31</v>
      </c>
      <c r="B77" s="33" t="s">
        <v>98</v>
      </c>
      <c r="C77" s="201">
        <v>0.08</v>
      </c>
      <c r="D77" s="200">
        <f>TRUNC(($D$76*C77),2)</f>
        <v>0.37</v>
      </c>
      <c r="E77" s="33"/>
      <c r="F77" s="33"/>
      <c r="G77" s="33"/>
    </row>
    <row r="78" spans="1:7">
      <c r="A78" s="180" t="s">
        <v>34</v>
      </c>
      <c r="B78" s="202" t="s">
        <v>99</v>
      </c>
      <c r="C78" s="203">
        <f>(0.08*0.4*0.05)</f>
        <v>0.0016</v>
      </c>
      <c r="D78" s="196">
        <f t="shared" si="1"/>
        <v>1.79</v>
      </c>
      <c r="E78" s="33"/>
      <c r="F78" s="33"/>
      <c r="G78" s="33"/>
    </row>
    <row r="79" spans="1:7">
      <c r="A79" s="180" t="s">
        <v>36</v>
      </c>
      <c r="B79" s="33" t="s">
        <v>100</v>
      </c>
      <c r="C79" s="204">
        <f>(((7/30)/12)*0.95)</f>
        <v>0.0184722222222222</v>
      </c>
      <c r="D79" s="205">
        <f t="shared" si="1"/>
        <v>20.76</v>
      </c>
      <c r="E79" s="33"/>
      <c r="F79" s="33"/>
      <c r="G79" s="33"/>
    </row>
    <row r="80" ht="30" spans="1:7">
      <c r="A80" s="180" t="s">
        <v>39</v>
      </c>
      <c r="B80" s="202" t="s">
        <v>195</v>
      </c>
      <c r="C80" s="203">
        <f>C55</f>
        <v>0.398</v>
      </c>
      <c r="D80" s="196">
        <f>TRUNC(($D$79*C80),2)</f>
        <v>8.26</v>
      </c>
      <c r="E80" s="33"/>
      <c r="F80" s="33"/>
      <c r="G80" s="33"/>
    </row>
    <row r="81" spans="1:7">
      <c r="A81" s="180" t="s">
        <v>41</v>
      </c>
      <c r="B81" s="202" t="s">
        <v>101</v>
      </c>
      <c r="C81" s="203">
        <f>(0.08*0.4*0.95)</f>
        <v>0.0304</v>
      </c>
      <c r="D81" s="196">
        <f>TRUNC(($D$31*C81),2)</f>
        <v>34.16</v>
      </c>
      <c r="E81" s="33"/>
      <c r="F81" s="33"/>
      <c r="G81" s="33"/>
    </row>
    <row r="82" spans="1:7">
      <c r="A82" s="180" t="s">
        <v>44</v>
      </c>
      <c r="B82" s="33"/>
      <c r="C82" s="201">
        <f>SUM(C76:C81)</f>
        <v>0.532638888888889</v>
      </c>
      <c r="D82" s="200">
        <f>TRUNC((SUM(D76:D81)),2)</f>
        <v>70.02</v>
      </c>
      <c r="E82" s="33"/>
      <c r="F82" s="33"/>
      <c r="G82" s="33"/>
    </row>
    <row r="83" ht="15.75" spans="1:7">
      <c r="A83" s="180"/>
      <c r="B83" s="33"/>
      <c r="C83" s="33"/>
      <c r="D83" s="185"/>
      <c r="E83" s="33"/>
      <c r="F83" s="33"/>
      <c r="G83" s="33"/>
    </row>
    <row r="84" ht="16.5" spans="1:7">
      <c r="A84" s="189" t="s">
        <v>196</v>
      </c>
      <c r="B84" s="189"/>
      <c r="C84" s="190" t="s">
        <v>188</v>
      </c>
      <c r="D84" s="191">
        <f>D31</f>
        <v>1124</v>
      </c>
      <c r="E84" s="33"/>
      <c r="F84" s="33"/>
      <c r="G84" s="33"/>
    </row>
    <row r="85" ht="16.5" spans="1:7">
      <c r="A85" s="189"/>
      <c r="B85" s="189"/>
      <c r="C85" s="192" t="s">
        <v>197</v>
      </c>
      <c r="D85" s="191">
        <f>D72</f>
        <v>1213.59</v>
      </c>
      <c r="E85" s="33"/>
      <c r="F85" s="33"/>
      <c r="G85" s="33"/>
    </row>
    <row r="86" ht="16.5" spans="1:7">
      <c r="A86" s="189"/>
      <c r="B86" s="189"/>
      <c r="C86" s="190" t="s">
        <v>198</v>
      </c>
      <c r="D86" s="191">
        <f>D82</f>
        <v>70.02</v>
      </c>
      <c r="E86" s="33"/>
      <c r="F86" s="33"/>
      <c r="G86" s="33"/>
    </row>
    <row r="87" ht="16.5" spans="1:7">
      <c r="A87" s="189"/>
      <c r="B87" s="189"/>
      <c r="C87" s="192" t="s">
        <v>190</v>
      </c>
      <c r="D87" s="193">
        <f>TRUNC((SUM(D84:D86)),2)</f>
        <v>2407.61</v>
      </c>
      <c r="E87" s="33"/>
      <c r="F87" s="33"/>
      <c r="G87" s="33"/>
    </row>
    <row r="88" ht="15.75" spans="1:7">
      <c r="A88" s="180"/>
      <c r="B88" s="33"/>
      <c r="C88" s="33"/>
      <c r="D88" s="185"/>
      <c r="E88" s="33"/>
      <c r="F88" s="33"/>
      <c r="G88" s="33"/>
    </row>
    <row r="89" spans="1:7">
      <c r="A89" s="206" t="s">
        <v>113</v>
      </c>
      <c r="B89" s="206"/>
      <c r="C89" s="206"/>
      <c r="D89" s="206"/>
      <c r="E89" s="33"/>
      <c r="F89" s="33"/>
      <c r="G89" s="33"/>
    </row>
    <row r="90" spans="1:7">
      <c r="A90" s="179" t="s">
        <v>114</v>
      </c>
      <c r="B90" s="179"/>
      <c r="C90" s="179"/>
      <c r="D90" s="179"/>
      <c r="E90" s="33"/>
      <c r="F90" s="33"/>
      <c r="G90" s="33"/>
    </row>
    <row r="91" spans="1:7">
      <c r="A91" s="180" t="s">
        <v>115</v>
      </c>
      <c r="B91" s="33" t="s">
        <v>116</v>
      </c>
      <c r="C91" s="180" t="s">
        <v>24</v>
      </c>
      <c r="D91" s="180" t="s">
        <v>5</v>
      </c>
      <c r="E91" s="33"/>
      <c r="F91" s="33"/>
      <c r="G91" s="33"/>
    </row>
    <row r="92" spans="1:7">
      <c r="A92" s="180" t="s">
        <v>28</v>
      </c>
      <c r="B92" s="33" t="s">
        <v>199</v>
      </c>
      <c r="C92" s="201">
        <f>(((1+1/3)/12)/12)+((1/12)/12)</f>
        <v>0.0162037037037037</v>
      </c>
      <c r="D92" s="185">
        <f t="shared" ref="D92:D96" si="2">TRUNC(($D$87*C92),2)</f>
        <v>39.01</v>
      </c>
      <c r="E92" s="33"/>
      <c r="F92" s="33"/>
      <c r="G92" s="33"/>
    </row>
    <row r="93" spans="1:7">
      <c r="A93" s="180" t="s">
        <v>31</v>
      </c>
      <c r="B93" s="33" t="s">
        <v>119</v>
      </c>
      <c r="C93" s="195">
        <f>((2/30)/12)</f>
        <v>0.00555555555555556</v>
      </c>
      <c r="D93" s="196">
        <f t="shared" si="2"/>
        <v>13.37</v>
      </c>
      <c r="E93" s="33"/>
      <c r="F93" s="33"/>
      <c r="G93" s="33"/>
    </row>
    <row r="94" spans="1:7">
      <c r="A94" s="180" t="s">
        <v>34</v>
      </c>
      <c r="B94" s="33" t="s">
        <v>120</v>
      </c>
      <c r="C94" s="195">
        <f>((5/30)/12)*0.02</f>
        <v>0.000277777777777778</v>
      </c>
      <c r="D94" s="196">
        <f t="shared" si="2"/>
        <v>0.66</v>
      </c>
      <c r="E94" s="33"/>
      <c r="F94" s="33"/>
      <c r="G94" s="33"/>
    </row>
    <row r="95" spans="1:7">
      <c r="A95" s="94" t="s">
        <v>36</v>
      </c>
      <c r="B95" s="202" t="s">
        <v>121</v>
      </c>
      <c r="C95" s="203">
        <f>((15/30)/12)*0.08</f>
        <v>0.00333333333333333</v>
      </c>
      <c r="D95" s="196">
        <f t="shared" si="2"/>
        <v>8.02</v>
      </c>
      <c r="E95" s="33"/>
      <c r="F95" s="33"/>
      <c r="G95" s="33"/>
    </row>
    <row r="96" spans="1:7">
      <c r="A96" s="180" t="s">
        <v>39</v>
      </c>
      <c r="B96" s="33" t="s">
        <v>122</v>
      </c>
      <c r="C96" s="195">
        <f>((1+1/3)/12)*0.03*((4/12))</f>
        <v>0.00111111111111111</v>
      </c>
      <c r="D96" s="196">
        <f t="shared" si="2"/>
        <v>2.67</v>
      </c>
      <c r="E96" s="33"/>
      <c r="F96" s="33"/>
      <c r="G96" s="33"/>
    </row>
    <row r="97" spans="1:7">
      <c r="A97" s="180" t="s">
        <v>41</v>
      </c>
      <c r="B97" s="202" t="s">
        <v>200</v>
      </c>
      <c r="C97" s="207">
        <v>0</v>
      </c>
      <c r="D97" s="196">
        <f>TRUNC($D$87*C97)</f>
        <v>0</v>
      </c>
      <c r="E97" s="33"/>
      <c r="F97" s="33"/>
      <c r="G97" s="33"/>
    </row>
    <row r="98" spans="1:7">
      <c r="A98" s="180" t="s">
        <v>44</v>
      </c>
      <c r="B98" s="33"/>
      <c r="C98" s="201">
        <f>SUM(C92:C97)</f>
        <v>0.0264814814814815</v>
      </c>
      <c r="D98" s="185">
        <f>TRUNC((SUM(D92:D97)),2)</f>
        <v>63.73</v>
      </c>
      <c r="E98" s="33"/>
      <c r="F98" s="33"/>
      <c r="G98" s="33"/>
    </row>
    <row r="99" spans="1:7">
      <c r="A99" s="180"/>
      <c r="B99" s="33"/>
      <c r="C99" s="180"/>
      <c r="D99" s="185"/>
      <c r="E99" s="33"/>
      <c r="F99" s="33"/>
      <c r="G99" s="33"/>
    </row>
    <row r="100" spans="1:7">
      <c r="A100" s="179" t="s">
        <v>130</v>
      </c>
      <c r="B100" s="179"/>
      <c r="C100" s="179"/>
      <c r="D100" s="179"/>
      <c r="E100" s="33"/>
      <c r="F100" s="33"/>
      <c r="G100" s="33"/>
    </row>
    <row r="101" spans="1:7">
      <c r="A101" s="180" t="s">
        <v>131</v>
      </c>
      <c r="B101" s="33" t="s">
        <v>132</v>
      </c>
      <c r="C101" s="180" t="s">
        <v>4</v>
      </c>
      <c r="D101" s="180" t="s">
        <v>5</v>
      </c>
      <c r="E101" s="33"/>
      <c r="F101" s="33"/>
      <c r="G101" s="33"/>
    </row>
    <row r="102" ht="90" spans="1:7">
      <c r="A102" s="94" t="s">
        <v>28</v>
      </c>
      <c r="B102" s="208" t="s">
        <v>133</v>
      </c>
      <c r="C102" s="209" t="s">
        <v>201</v>
      </c>
      <c r="D102" s="210" t="s">
        <v>202</v>
      </c>
      <c r="E102" s="33"/>
      <c r="F102" s="33"/>
      <c r="G102" s="33"/>
    </row>
    <row r="103" spans="1:7">
      <c r="A103" s="180" t="s">
        <v>44</v>
      </c>
      <c r="B103" s="33"/>
      <c r="C103" s="180"/>
      <c r="D103" s="211" t="str">
        <f>D102</f>
        <v>*=TRUNCAR(($D$86/220)*(1*(365/12))/2)</v>
      </c>
      <c r="E103" s="33"/>
      <c r="F103" s="33"/>
      <c r="G103" s="33"/>
    </row>
    <row r="104" spans="1:7">
      <c r="A104" s="33"/>
      <c r="B104" s="33"/>
      <c r="C104" s="33"/>
      <c r="D104" s="33"/>
      <c r="E104" s="33"/>
      <c r="F104" s="33"/>
      <c r="G104" s="33"/>
    </row>
    <row r="105" spans="1:7">
      <c r="A105" s="179" t="s">
        <v>134</v>
      </c>
      <c r="B105" s="179"/>
      <c r="C105" s="179"/>
      <c r="D105" s="179"/>
      <c r="E105" s="33"/>
      <c r="F105" s="33"/>
      <c r="G105" s="33"/>
    </row>
    <row r="106" spans="1:7">
      <c r="A106" s="180" t="s">
        <v>135</v>
      </c>
      <c r="B106" s="33" t="s">
        <v>136</v>
      </c>
      <c r="C106" s="180" t="s">
        <v>4</v>
      </c>
      <c r="D106" s="180" t="s">
        <v>5</v>
      </c>
      <c r="E106" s="33"/>
      <c r="F106" s="33"/>
      <c r="G106" s="33"/>
    </row>
    <row r="107" spans="1:7">
      <c r="A107" s="180" t="s">
        <v>115</v>
      </c>
      <c r="B107" s="33" t="s">
        <v>116</v>
      </c>
      <c r="C107" s="33"/>
      <c r="D107" s="182">
        <f>D98</f>
        <v>63.73</v>
      </c>
      <c r="E107" s="33"/>
      <c r="F107" s="33"/>
      <c r="G107" s="33"/>
    </row>
    <row r="108" spans="1:7">
      <c r="A108" s="180" t="s">
        <v>131</v>
      </c>
      <c r="B108" s="33" t="s">
        <v>137</v>
      </c>
      <c r="C108" s="33"/>
      <c r="D108" s="212" t="str">
        <f>Submódulo4.260_81201026597[[#Totals],[Valor]]</f>
        <v>*=TRUNCAR(($D$86/220)*(1*(365/12))/2)</v>
      </c>
      <c r="E108" s="33"/>
      <c r="F108" s="33"/>
      <c r="G108" s="33"/>
    </row>
    <row r="109" ht="60" spans="1:7">
      <c r="A109" s="94" t="s">
        <v>44</v>
      </c>
      <c r="B109" s="197"/>
      <c r="C109" s="209" t="s">
        <v>203</v>
      </c>
      <c r="D109" s="200">
        <f>TRUNC((SUM(D107:D108)),2)</f>
        <v>63.73</v>
      </c>
      <c r="E109" s="33"/>
      <c r="F109" s="33"/>
      <c r="G109" s="33"/>
    </row>
    <row r="110" spans="1:7">
      <c r="A110" s="33"/>
      <c r="B110" s="33"/>
      <c r="C110" s="33"/>
      <c r="D110" s="33"/>
      <c r="E110" s="33"/>
      <c r="F110" s="33"/>
      <c r="G110" s="33"/>
    </row>
    <row r="111" spans="1:7">
      <c r="A111" s="163" t="s">
        <v>138</v>
      </c>
      <c r="B111" s="163"/>
      <c r="C111" s="163"/>
      <c r="D111" s="163"/>
      <c r="E111" s="33"/>
      <c r="F111" s="33"/>
      <c r="G111" s="33"/>
    </row>
    <row r="112" spans="1:7">
      <c r="A112" s="180" t="s">
        <v>139</v>
      </c>
      <c r="B112" s="33" t="s">
        <v>140</v>
      </c>
      <c r="C112" s="180" t="s">
        <v>4</v>
      </c>
      <c r="D112" s="180" t="s">
        <v>5</v>
      </c>
      <c r="E112" s="33"/>
      <c r="F112" s="33"/>
      <c r="G112" s="33"/>
    </row>
    <row r="113" spans="1:7">
      <c r="A113" s="180" t="s">
        <v>28</v>
      </c>
      <c r="B113" s="33" t="s">
        <v>204</v>
      </c>
      <c r="C113" s="33"/>
      <c r="D113" s="182">
        <f>Uniformes!G140</f>
        <v>75.87</v>
      </c>
      <c r="E113" s="33"/>
      <c r="F113" s="33"/>
      <c r="G113" s="33"/>
    </row>
    <row r="114" spans="1:7">
      <c r="A114" s="180" t="s">
        <v>31</v>
      </c>
      <c r="B114" s="33" t="s">
        <v>205</v>
      </c>
      <c r="C114" s="33"/>
      <c r="D114" s="182">
        <f>EPC!E21</f>
        <v>17.95</v>
      </c>
      <c r="E114" s="33"/>
      <c r="F114" s="33"/>
      <c r="G114" s="33"/>
    </row>
    <row r="115" spans="1:7">
      <c r="A115" s="180" t="s">
        <v>34</v>
      </c>
      <c r="B115" s="33" t="s">
        <v>142</v>
      </c>
      <c r="C115" s="33"/>
      <c r="D115" s="182">
        <f>'Materiais e Equipamentos'!E93</f>
        <v>61.2</v>
      </c>
      <c r="E115" s="33"/>
      <c r="F115" s="33"/>
      <c r="G115" s="33"/>
    </row>
    <row r="116" spans="1:7">
      <c r="A116" s="180" t="s">
        <v>36</v>
      </c>
      <c r="B116" s="33" t="s">
        <v>143</v>
      </c>
      <c r="C116" s="33"/>
      <c r="D116" s="182">
        <f>'Materiais e Equipamentos'!F124</f>
        <v>16.72</v>
      </c>
      <c r="E116" s="33"/>
      <c r="F116" s="33"/>
      <c r="G116" s="33"/>
    </row>
    <row r="117" spans="1:7">
      <c r="A117" s="180" t="s">
        <v>39</v>
      </c>
      <c r="B117" s="33" t="s">
        <v>42</v>
      </c>
      <c r="C117" s="33"/>
      <c r="D117" s="182">
        <f>H116</f>
        <v>0</v>
      </c>
      <c r="E117" s="33"/>
      <c r="F117" s="33"/>
      <c r="G117" s="33"/>
    </row>
    <row r="118" spans="1:7">
      <c r="A118" s="180" t="s">
        <v>44</v>
      </c>
      <c r="B118" s="33"/>
      <c r="C118" s="33"/>
      <c r="D118" s="185">
        <f>TRUNC(SUM((D113:D117)),2)</f>
        <v>171.74</v>
      </c>
      <c r="E118" s="33"/>
      <c r="F118" s="33"/>
      <c r="G118" s="33"/>
    </row>
    <row r="119" ht="15.75" spans="1:7">
      <c r="A119" s="33"/>
      <c r="B119" s="33"/>
      <c r="C119" s="33"/>
      <c r="D119" s="33"/>
      <c r="E119" s="33"/>
      <c r="F119" s="33"/>
      <c r="G119" s="33"/>
    </row>
    <row r="120" ht="16.5" spans="1:7">
      <c r="A120" s="189" t="s">
        <v>207</v>
      </c>
      <c r="B120" s="189"/>
      <c r="C120" s="190" t="s">
        <v>188</v>
      </c>
      <c r="D120" s="191">
        <f>D31</f>
        <v>1124</v>
      </c>
      <c r="E120" s="33"/>
      <c r="F120" s="33"/>
      <c r="G120" s="33"/>
    </row>
    <row r="121" ht="16.5" spans="1:7">
      <c r="A121" s="189"/>
      <c r="B121" s="189"/>
      <c r="C121" s="192" t="s">
        <v>197</v>
      </c>
      <c r="D121" s="191">
        <f>D72</f>
        <v>1213.59</v>
      </c>
      <c r="E121" s="33"/>
      <c r="F121" s="33"/>
      <c r="G121" s="33"/>
    </row>
    <row r="122" ht="16.5" spans="1:7">
      <c r="A122" s="189"/>
      <c r="B122" s="189"/>
      <c r="C122" s="190" t="s">
        <v>198</v>
      </c>
      <c r="D122" s="191">
        <f>D82</f>
        <v>70.02</v>
      </c>
      <c r="E122" s="33"/>
      <c r="F122" s="33"/>
      <c r="G122" s="33"/>
    </row>
    <row r="123" ht="16.5" spans="1:7">
      <c r="A123" s="189"/>
      <c r="B123" s="189"/>
      <c r="C123" s="192" t="s">
        <v>208</v>
      </c>
      <c r="D123" s="191">
        <f>D109</f>
        <v>63.73</v>
      </c>
      <c r="E123" s="33"/>
      <c r="F123" s="33"/>
      <c r="G123" s="33"/>
    </row>
    <row r="124" ht="16.5" spans="1:7">
      <c r="A124" s="189"/>
      <c r="B124" s="189"/>
      <c r="C124" s="190" t="s">
        <v>209</v>
      </c>
      <c r="D124" s="191">
        <f>D118</f>
        <v>171.74</v>
      </c>
      <c r="E124" s="33"/>
      <c r="F124" s="33"/>
      <c r="G124" s="33"/>
    </row>
    <row r="125" ht="16.5" spans="1:7">
      <c r="A125" s="189"/>
      <c r="B125" s="189"/>
      <c r="C125" s="192" t="s">
        <v>190</v>
      </c>
      <c r="D125" s="193">
        <f>TRUNC((SUM(D120:D124)),2)</f>
        <v>2643.08</v>
      </c>
      <c r="E125" s="33"/>
      <c r="F125" s="33"/>
      <c r="G125" s="33"/>
    </row>
    <row r="126" ht="15.75" spans="1:7">
      <c r="A126" s="33"/>
      <c r="B126" s="33"/>
      <c r="C126" s="33"/>
      <c r="D126" s="33"/>
      <c r="E126" s="33"/>
      <c r="F126" s="33"/>
      <c r="G126" s="33"/>
    </row>
    <row r="127" spans="1:7">
      <c r="A127" s="163" t="s">
        <v>150</v>
      </c>
      <c r="B127" s="163"/>
      <c r="C127" s="163"/>
      <c r="D127" s="163"/>
      <c r="E127" s="33"/>
      <c r="F127" s="33"/>
      <c r="G127" s="33"/>
    </row>
    <row r="128" spans="1:7">
      <c r="A128" s="180" t="s">
        <v>151</v>
      </c>
      <c r="B128" s="33" t="s">
        <v>152</v>
      </c>
      <c r="C128" s="180" t="s">
        <v>24</v>
      </c>
      <c r="D128" s="180" t="s">
        <v>5</v>
      </c>
      <c r="E128" s="33"/>
      <c r="F128" s="213" t="s">
        <v>210</v>
      </c>
      <c r="G128" s="213"/>
    </row>
    <row r="129" ht="15.75" spans="1:7">
      <c r="A129" s="180" t="s">
        <v>28</v>
      </c>
      <c r="B129" s="33" t="s">
        <v>153</v>
      </c>
      <c r="C129" s="195">
        <v>0.044</v>
      </c>
      <c r="D129" s="182">
        <f>TRUNC(($D$125*C129),2)</f>
        <v>116.29</v>
      </c>
      <c r="E129" s="33"/>
      <c r="F129" s="214" t="s">
        <v>211</v>
      </c>
      <c r="G129" s="203">
        <f>C131</f>
        <v>0.0865</v>
      </c>
    </row>
    <row r="130" ht="15.75" spans="1:7">
      <c r="A130" s="180" t="s">
        <v>31</v>
      </c>
      <c r="B130" s="33" t="s">
        <v>45</v>
      </c>
      <c r="C130" s="195">
        <v>0.0413</v>
      </c>
      <c r="D130" s="182">
        <f>TRUNC((C130*(D125+D129)),2)</f>
        <v>113.96</v>
      </c>
      <c r="E130" s="33"/>
      <c r="F130" s="215" t="s">
        <v>212</v>
      </c>
      <c r="G130" s="216">
        <f>TRUNC(SUM(D125,D129,D130),2)</f>
        <v>2873.33</v>
      </c>
    </row>
    <row r="131" spans="1:7">
      <c r="A131" s="180" t="s">
        <v>34</v>
      </c>
      <c r="B131" s="33" t="s">
        <v>154</v>
      </c>
      <c r="C131" s="195">
        <f>SUM(C132:C134)</f>
        <v>0.0865</v>
      </c>
      <c r="D131" s="182">
        <f>TRUNC((SUM(D132:D134)),2)</f>
        <v>272.07</v>
      </c>
      <c r="E131" s="33"/>
      <c r="F131" s="214" t="s">
        <v>213</v>
      </c>
      <c r="G131" s="217">
        <f>(100-8.65)/100</f>
        <v>0.9135</v>
      </c>
    </row>
    <row r="132" ht="15.75" spans="1:7">
      <c r="A132" s="180"/>
      <c r="B132" s="33" t="s">
        <v>214</v>
      </c>
      <c r="C132" s="195">
        <v>0.0065</v>
      </c>
      <c r="D132" s="182">
        <f t="shared" ref="D132:D134" si="3">TRUNC(($G$132*C132),2)</f>
        <v>20.44</v>
      </c>
      <c r="E132" s="33"/>
      <c r="F132" s="215" t="s">
        <v>210</v>
      </c>
      <c r="G132" s="216">
        <f>TRUNC((G130/G131),2)</f>
        <v>3145.4</v>
      </c>
    </row>
    <row r="133" ht="15.75" spans="1:7">
      <c r="A133" s="180"/>
      <c r="B133" s="33" t="s">
        <v>215</v>
      </c>
      <c r="C133" s="195">
        <v>0.03</v>
      </c>
      <c r="D133" s="182">
        <f t="shared" si="3"/>
        <v>94.36</v>
      </c>
      <c r="E133" s="33"/>
      <c r="F133" s="33"/>
      <c r="G133" s="33"/>
    </row>
    <row r="134" spans="1:7">
      <c r="A134" s="180"/>
      <c r="B134" s="33" t="s">
        <v>216</v>
      </c>
      <c r="C134" s="195">
        <v>0.05</v>
      </c>
      <c r="D134" s="182">
        <f t="shared" si="3"/>
        <v>157.27</v>
      </c>
      <c r="E134" s="33"/>
      <c r="F134" s="33"/>
      <c r="G134" s="33"/>
    </row>
    <row r="135" spans="1:7">
      <c r="A135" s="180" t="s">
        <v>44</v>
      </c>
      <c r="B135" s="33"/>
      <c r="C135" s="180"/>
      <c r="D135" s="185">
        <f>TRUNC(SUM(D129:D131),2)</f>
        <v>502.32</v>
      </c>
      <c r="E135" s="33"/>
      <c r="F135" s="33"/>
      <c r="G135" s="33"/>
    </row>
    <row r="136" spans="1:7">
      <c r="A136" s="180"/>
      <c r="B136" s="33"/>
      <c r="C136" s="180"/>
      <c r="D136" s="185"/>
      <c r="E136" s="33"/>
      <c r="F136" s="33"/>
      <c r="G136" s="33"/>
    </row>
    <row r="137" spans="1:7">
      <c r="A137" s="33"/>
      <c r="B137" s="33"/>
      <c r="C137" s="33"/>
      <c r="D137" s="33"/>
      <c r="E137" s="33"/>
      <c r="F137" s="33"/>
      <c r="G137" s="33"/>
    </row>
    <row r="138" spans="1:7">
      <c r="A138" s="163" t="s">
        <v>158</v>
      </c>
      <c r="B138" s="163"/>
      <c r="C138" s="163"/>
      <c r="D138" s="163"/>
      <c r="E138" s="33"/>
      <c r="F138" s="33"/>
      <c r="G138" s="33"/>
    </row>
    <row r="139" spans="1:7">
      <c r="A139" s="180" t="s">
        <v>2</v>
      </c>
      <c r="B139" s="180" t="s">
        <v>159</v>
      </c>
      <c r="C139" s="180" t="s">
        <v>88</v>
      </c>
      <c r="D139" s="180" t="s">
        <v>5</v>
      </c>
      <c r="E139" s="33"/>
      <c r="F139" s="33"/>
      <c r="G139" s="33"/>
    </row>
    <row r="140" spans="1:7">
      <c r="A140" s="180" t="s">
        <v>28</v>
      </c>
      <c r="B140" s="33" t="s">
        <v>22</v>
      </c>
      <c r="C140" s="33"/>
      <c r="D140" s="185">
        <f>D31</f>
        <v>1124</v>
      </c>
      <c r="E140" s="33"/>
      <c r="F140" s="33"/>
      <c r="G140" s="33"/>
    </row>
    <row r="141" spans="1:7">
      <c r="A141" s="180" t="s">
        <v>31</v>
      </c>
      <c r="B141" s="33" t="s">
        <v>47</v>
      </c>
      <c r="C141" s="33"/>
      <c r="D141" s="185">
        <f>D72</f>
        <v>1213.59</v>
      </c>
      <c r="E141" s="33"/>
      <c r="F141" s="33"/>
      <c r="G141" s="33"/>
    </row>
    <row r="142" spans="1:7">
      <c r="A142" s="180" t="s">
        <v>34</v>
      </c>
      <c r="B142" s="33" t="s">
        <v>94</v>
      </c>
      <c r="C142" s="33"/>
      <c r="D142" s="185">
        <f>D82</f>
        <v>70.02</v>
      </c>
      <c r="E142" s="33"/>
      <c r="F142" s="33"/>
      <c r="G142" s="33"/>
    </row>
    <row r="143" spans="1:7">
      <c r="A143" s="180" t="s">
        <v>36</v>
      </c>
      <c r="B143" s="33" t="s">
        <v>160</v>
      </c>
      <c r="C143" s="33"/>
      <c r="D143" s="185">
        <f>D109</f>
        <v>63.73</v>
      </c>
      <c r="E143" s="33"/>
      <c r="F143" s="33"/>
      <c r="G143" s="33"/>
    </row>
    <row r="144" spans="1:7">
      <c r="A144" s="180" t="s">
        <v>39</v>
      </c>
      <c r="B144" s="33" t="s">
        <v>138</v>
      </c>
      <c r="C144" s="33"/>
      <c r="D144" s="185">
        <f>D118</f>
        <v>171.74</v>
      </c>
      <c r="E144" s="33"/>
      <c r="F144" s="33"/>
      <c r="G144" s="33"/>
    </row>
    <row r="145" spans="1:7">
      <c r="A145" s="33"/>
      <c r="B145" s="218" t="s">
        <v>161</v>
      </c>
      <c r="C145" s="33"/>
      <c r="D145" s="185">
        <f>TRUNC(SUM(D140:D144),2)</f>
        <v>2643.08</v>
      </c>
      <c r="E145" s="33"/>
      <c r="F145" s="33"/>
      <c r="G145" s="33"/>
    </row>
    <row r="146" spans="1:7">
      <c r="A146" s="180" t="s">
        <v>41</v>
      </c>
      <c r="B146" s="33" t="s">
        <v>150</v>
      </c>
      <c r="C146" s="33"/>
      <c r="D146" s="185">
        <f>D135</f>
        <v>502.32</v>
      </c>
      <c r="E146" s="33"/>
      <c r="F146" s="33"/>
      <c r="G146" s="33"/>
    </row>
    <row r="147" spans="1:7">
      <c r="A147" s="219"/>
      <c r="B147" s="220" t="s">
        <v>217</v>
      </c>
      <c r="C147" s="219"/>
      <c r="D147" s="221">
        <f>TRUNC((SUM(D140:D144)+D146),2)</f>
        <v>3145.4</v>
      </c>
      <c r="E147" s="33"/>
      <c r="F147" s="33"/>
      <c r="G147" s="33"/>
    </row>
  </sheetData>
  <mergeCells count="33">
    <mergeCell ref="A2:D2"/>
    <mergeCell ref="A3:D3"/>
    <mergeCell ref="A6:D6"/>
    <mergeCell ref="C7:D7"/>
    <mergeCell ref="C8:D8"/>
    <mergeCell ref="C9:D9"/>
    <mergeCell ref="C10:D10"/>
    <mergeCell ref="A11:D11"/>
    <mergeCell ref="A12:B12"/>
    <mergeCell ref="A13:B13"/>
    <mergeCell ref="A14:B14"/>
    <mergeCell ref="A15:D15"/>
    <mergeCell ref="F15:G15"/>
    <mergeCell ref="F22:G22"/>
    <mergeCell ref="A23:D23"/>
    <mergeCell ref="F31:G31"/>
    <mergeCell ref="A33:D33"/>
    <mergeCell ref="A35:D35"/>
    <mergeCell ref="A45:D45"/>
    <mergeCell ref="A57:D57"/>
    <mergeCell ref="A67:D67"/>
    <mergeCell ref="A74:D74"/>
    <mergeCell ref="A89:D89"/>
    <mergeCell ref="A90:D90"/>
    <mergeCell ref="A100:D100"/>
    <mergeCell ref="A105:D105"/>
    <mergeCell ref="A111:D111"/>
    <mergeCell ref="A127:D127"/>
    <mergeCell ref="F128:G128"/>
    <mergeCell ref="A138:D138"/>
    <mergeCell ref="A41:B43"/>
    <mergeCell ref="A84:B87"/>
    <mergeCell ref="A120:B125"/>
  </mergeCells>
  <pageMargins left="0.75" right="0.75" top="1" bottom="1" header="0.5" footer="0.5"/>
  <pageSetup paperSize="9" orientation="landscape"/>
  <headerFooter/>
  <tableParts count="13">
    <tablePart r:id="rId1"/>
    <tablePart r:id="rId2"/>
    <tablePart r:id="rId3"/>
    <tablePart r:id="rId4"/>
    <tablePart r:id="rId5"/>
    <tablePart r:id="rId6"/>
    <tablePart r:id="rId7"/>
    <tablePart r:id="rId8"/>
    <tablePart r:id="rId9"/>
    <tablePart r:id="rId10"/>
    <tablePart r:id="rId11"/>
    <tablePart r:id="rId12"/>
    <tablePart r:id="rId13"/>
  </tableParts>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B1:J22"/>
  <sheetViews>
    <sheetView workbookViewId="0">
      <selection activeCell="B1" sqref="B1:E24"/>
    </sheetView>
  </sheetViews>
  <sheetFormatPr defaultColWidth="8.88571428571429" defaultRowHeight="15"/>
  <cols>
    <col min="2" max="2" width="36.3333333333333" customWidth="1"/>
    <col min="3" max="3" width="24.1142857142857" customWidth="1"/>
    <col min="4" max="4" width="13" customWidth="1"/>
    <col min="5" max="5" width="30.6666666666667" customWidth="1"/>
    <col min="9" max="9" width="22.552380952381" customWidth="1"/>
    <col min="10" max="10" width="17.7809523809524" customWidth="1"/>
  </cols>
  <sheetData>
    <row r="1" ht="16.5" spans="2:10">
      <c r="B1" s="98" t="s">
        <v>244</v>
      </c>
      <c r="C1" s="99"/>
      <c r="D1" s="99"/>
      <c r="E1" s="100"/>
      <c r="F1" s="8"/>
      <c r="G1" s="8"/>
      <c r="H1" s="8"/>
      <c r="I1" s="8"/>
      <c r="J1" s="8"/>
    </row>
    <row r="2" ht="33" spans="2:10">
      <c r="B2" s="101" t="s">
        <v>245</v>
      </c>
      <c r="C2" s="102" t="s">
        <v>246</v>
      </c>
      <c r="D2" s="103" t="s">
        <v>247</v>
      </c>
      <c r="E2" s="104"/>
      <c r="F2" s="8"/>
      <c r="G2" s="8"/>
      <c r="H2" s="8"/>
      <c r="I2" s="8"/>
      <c r="J2" s="8"/>
    </row>
    <row r="3" ht="17.25" spans="2:10">
      <c r="B3" s="105" t="s">
        <v>248</v>
      </c>
      <c r="C3" s="106" t="s">
        <v>249</v>
      </c>
      <c r="D3" s="107" t="s">
        <v>250</v>
      </c>
      <c r="E3" s="108"/>
      <c r="F3" s="8"/>
      <c r="G3" s="8"/>
      <c r="H3" s="8"/>
      <c r="I3" s="8"/>
      <c r="J3" s="8"/>
    </row>
    <row r="4" ht="17.25" spans="2:10">
      <c r="B4" s="109">
        <f>RESUMO!D11</f>
        <v>50</v>
      </c>
      <c r="C4" s="110">
        <f>E19</f>
        <v>190.08</v>
      </c>
      <c r="D4" s="111">
        <f>TRUNC((B4*C4),2)</f>
        <v>9504</v>
      </c>
      <c r="E4" s="112"/>
      <c r="F4" s="8"/>
      <c r="G4" s="8"/>
      <c r="H4" s="113"/>
      <c r="I4" s="113"/>
      <c r="J4" s="113"/>
    </row>
    <row r="5" ht="17.25" spans="2:10">
      <c r="B5" s="114"/>
      <c r="C5" s="115"/>
      <c r="D5" s="115"/>
      <c r="E5" s="116"/>
      <c r="F5" s="8"/>
      <c r="G5" s="8"/>
      <c r="H5" s="113"/>
      <c r="I5" s="148" t="s">
        <v>210</v>
      </c>
      <c r="J5" s="149"/>
    </row>
    <row r="6" ht="17.25" spans="2:10">
      <c r="B6" s="114"/>
      <c r="C6" s="115"/>
      <c r="D6" s="115"/>
      <c r="E6" s="116"/>
      <c r="F6" s="8"/>
      <c r="G6" s="8"/>
      <c r="H6" s="113"/>
      <c r="I6" s="150" t="s">
        <v>211</v>
      </c>
      <c r="J6" s="151">
        <f>D18</f>
        <v>0.0865</v>
      </c>
    </row>
    <row r="7" ht="16.5" spans="2:10">
      <c r="B7" s="98" t="s">
        <v>251</v>
      </c>
      <c r="C7" s="99"/>
      <c r="D7" s="99"/>
      <c r="E7" s="100"/>
      <c r="F7" s="8"/>
      <c r="G7" s="8"/>
      <c r="H7" s="113"/>
      <c r="I7" s="152" t="s">
        <v>252</v>
      </c>
      <c r="J7" s="153">
        <f>E13</f>
        <v>173.64</v>
      </c>
    </row>
    <row r="8" ht="17.25" spans="2:10">
      <c r="B8" s="102" t="s">
        <v>253</v>
      </c>
      <c r="C8" s="102"/>
      <c r="D8" s="102"/>
      <c r="E8" s="117">
        <v>160</v>
      </c>
      <c r="F8" s="8"/>
      <c r="G8" s="8"/>
      <c r="H8" s="113"/>
      <c r="I8" s="150" t="s">
        <v>254</v>
      </c>
      <c r="J8" s="154">
        <f>(1-J6)</f>
        <v>0.9135</v>
      </c>
    </row>
    <row r="9" ht="16.5" spans="2:10">
      <c r="B9" s="118" t="s">
        <v>255</v>
      </c>
      <c r="C9" s="119"/>
      <c r="D9" s="120" t="s">
        <v>256</v>
      </c>
      <c r="E9" s="121" t="s">
        <v>257</v>
      </c>
      <c r="F9" s="8"/>
      <c r="G9" s="8"/>
      <c r="H9" s="113"/>
      <c r="I9" s="155"/>
      <c r="J9" s="155"/>
    </row>
    <row r="10" ht="15.75" spans="2:10">
      <c r="B10" s="122" t="s">
        <v>258</v>
      </c>
      <c r="C10" s="123"/>
      <c r="D10" s="124">
        <f>'Motorista Interestadual'!C129</f>
        <v>0.044</v>
      </c>
      <c r="E10" s="125">
        <f>TRUNC((E8*D10),2)</f>
        <v>7.04</v>
      </c>
      <c r="F10" s="8"/>
      <c r="G10" s="8"/>
      <c r="H10" s="113"/>
      <c r="I10" s="155"/>
      <c r="J10" s="155"/>
    </row>
    <row r="11" ht="16.5" spans="2:10">
      <c r="B11" s="126" t="s">
        <v>259</v>
      </c>
      <c r="C11" s="127"/>
      <c r="D11" s="124">
        <f>'Motorista Interestadual'!C130</f>
        <v>0.0413</v>
      </c>
      <c r="E11" s="125">
        <f>TRUNC((E8*D11),2)</f>
        <v>6.6</v>
      </c>
      <c r="F11" s="8"/>
      <c r="G11" s="8"/>
      <c r="H11" s="113"/>
      <c r="I11" s="113"/>
      <c r="J11" s="113"/>
    </row>
    <row r="12" ht="17.25" spans="2:10">
      <c r="B12" s="128" t="s">
        <v>260</v>
      </c>
      <c r="C12" s="103"/>
      <c r="D12" s="104"/>
      <c r="E12" s="129">
        <f>TRUNC((SUM(E10:E11)),2)</f>
        <v>13.64</v>
      </c>
      <c r="F12" s="8"/>
      <c r="G12" s="8"/>
      <c r="H12" s="113"/>
      <c r="I12" s="113"/>
      <c r="J12" s="113"/>
    </row>
    <row r="13" ht="17.25" spans="2:10">
      <c r="B13" s="130" t="s">
        <v>190</v>
      </c>
      <c r="C13" s="131"/>
      <c r="D13" s="132"/>
      <c r="E13" s="129">
        <f>TRUNC((E8+E12),2)</f>
        <v>173.64</v>
      </c>
      <c r="F13" s="8"/>
      <c r="G13" s="8"/>
      <c r="H13" s="113"/>
      <c r="I13" s="113"/>
      <c r="J13" s="113"/>
    </row>
    <row r="14" ht="16.5" spans="2:10">
      <c r="B14" s="133" t="s">
        <v>261</v>
      </c>
      <c r="C14" s="134"/>
      <c r="D14" s="135" t="s">
        <v>256</v>
      </c>
      <c r="E14" s="136" t="s">
        <v>262</v>
      </c>
      <c r="F14" s="8"/>
      <c r="G14" s="8"/>
      <c r="H14" s="8"/>
      <c r="I14" s="8"/>
      <c r="J14" s="8"/>
    </row>
    <row r="15" ht="15.75" spans="2:10">
      <c r="B15" s="122" t="s">
        <v>50</v>
      </c>
      <c r="C15" s="123"/>
      <c r="D15" s="124">
        <f>'Motorista Interestadual'!C132</f>
        <v>0.0065</v>
      </c>
      <c r="E15" s="125">
        <f>(J7/J8)*(D15)</f>
        <v>1.23553366174056</v>
      </c>
      <c r="F15" s="8"/>
      <c r="G15" s="8"/>
      <c r="H15" s="8"/>
      <c r="I15" s="8"/>
      <c r="J15" s="8"/>
    </row>
    <row r="16" ht="15.75" spans="2:10">
      <c r="B16" s="126" t="s">
        <v>48</v>
      </c>
      <c r="C16" s="127"/>
      <c r="D16" s="124">
        <f>'Motorista Interestadual'!C133</f>
        <v>0.03</v>
      </c>
      <c r="E16" s="125">
        <f>(J7/J8)*(D16)</f>
        <v>5.70246305418719</v>
      </c>
      <c r="F16" s="8"/>
      <c r="G16" s="8"/>
      <c r="H16" s="8"/>
      <c r="I16" s="8"/>
      <c r="J16" s="8"/>
    </row>
    <row r="17" ht="15.75" spans="2:10">
      <c r="B17" s="122" t="s">
        <v>46</v>
      </c>
      <c r="C17" s="123"/>
      <c r="D17" s="124">
        <f>'Motorista Interestadual'!C134</f>
        <v>0.05</v>
      </c>
      <c r="E17" s="137">
        <f>(E13/J8)*(D17)</f>
        <v>9.50410509031199</v>
      </c>
      <c r="F17" s="8"/>
      <c r="G17" s="8"/>
      <c r="H17" s="8"/>
      <c r="I17" s="8"/>
      <c r="J17" s="8"/>
    </row>
    <row r="18" ht="16.5" spans="2:10">
      <c r="B18" s="138" t="s">
        <v>211</v>
      </c>
      <c r="C18" s="139"/>
      <c r="D18" s="140">
        <f>SUM(D15:D17)</f>
        <v>0.0865</v>
      </c>
      <c r="E18" s="141">
        <f>SUM(E15:E17)</f>
        <v>16.4421018062397</v>
      </c>
      <c r="F18" s="8"/>
      <c r="G18" s="8"/>
      <c r="H18" s="8"/>
      <c r="I18" s="8"/>
      <c r="J18" s="8"/>
    </row>
    <row r="19" ht="17.25" spans="2:10">
      <c r="B19" s="142" t="s">
        <v>190</v>
      </c>
      <c r="C19" s="143"/>
      <c r="D19" s="144"/>
      <c r="E19" s="145">
        <f>TRUNC((E13+E18),2)</f>
        <v>190.08</v>
      </c>
      <c r="F19" s="8"/>
      <c r="G19" s="8"/>
      <c r="H19" s="8"/>
      <c r="I19" s="8"/>
      <c r="J19" s="8"/>
    </row>
    <row r="20" ht="15.75" spans="2:10">
      <c r="B20" s="146"/>
      <c r="C20" s="146"/>
      <c r="D20" s="146"/>
      <c r="E20" s="146"/>
      <c r="F20" s="8"/>
      <c r="G20" s="8"/>
      <c r="H20" s="8"/>
      <c r="I20" s="8"/>
      <c r="J20" s="8"/>
    </row>
    <row r="21" spans="2:10">
      <c r="B21" s="147" t="s">
        <v>263</v>
      </c>
      <c r="C21" s="147"/>
      <c r="D21" s="147"/>
      <c r="E21" s="147"/>
      <c r="F21" s="8"/>
      <c r="G21" s="8"/>
      <c r="H21" s="8"/>
      <c r="I21" s="8"/>
      <c r="J21" s="8"/>
    </row>
    <row r="22" spans="2:10">
      <c r="B22" s="147" t="s">
        <v>264</v>
      </c>
      <c r="C22" s="147"/>
      <c r="D22" s="147"/>
      <c r="E22" s="147"/>
      <c r="F22" s="8"/>
      <c r="G22" s="8"/>
      <c r="H22" s="8"/>
      <c r="I22" s="8"/>
      <c r="J22" s="8"/>
    </row>
  </sheetData>
  <mergeCells count="20">
    <mergeCell ref="B1:E1"/>
    <mergeCell ref="D2:E2"/>
    <mergeCell ref="D3:E3"/>
    <mergeCell ref="D4:E4"/>
    <mergeCell ref="I5:J5"/>
    <mergeCell ref="B7:E7"/>
    <mergeCell ref="B8:D8"/>
    <mergeCell ref="B9:C9"/>
    <mergeCell ref="B10:C10"/>
    <mergeCell ref="B11:C11"/>
    <mergeCell ref="B12:D12"/>
    <mergeCell ref="B13:D13"/>
    <mergeCell ref="B14:C14"/>
    <mergeCell ref="B15:C15"/>
    <mergeCell ref="B16:C16"/>
    <mergeCell ref="B17:C17"/>
    <mergeCell ref="B18:C18"/>
    <mergeCell ref="B19:D19"/>
    <mergeCell ref="B21:E21"/>
    <mergeCell ref="B22:E22"/>
  </mergeCells>
  <pageMargins left="0.75" right="0.75" top="1" bottom="1" header="0.5" footer="0.5"/>
  <pageSetup paperSize="9" orientation="landscape"/>
  <headerFooter/>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158"/>
  <sheetViews>
    <sheetView zoomScale="90" zoomScaleNormal="90" topLeftCell="A132" workbookViewId="0">
      <selection activeCell="E145" sqref="E145"/>
    </sheetView>
  </sheetViews>
  <sheetFormatPr defaultColWidth="9.14285714285714" defaultRowHeight="15" outlineLevelCol="7"/>
  <cols>
    <col min="2" max="2" width="13.1619047619048" style="70" customWidth="1"/>
    <col min="3" max="3" width="39.3619047619048" customWidth="1"/>
    <col min="4" max="4" width="9" style="71" customWidth="1"/>
    <col min="5" max="5" width="9.71428571428571" customWidth="1"/>
    <col min="6" max="6" width="12.6952380952381" customWidth="1"/>
    <col min="7" max="7" width="12.2857142857143" customWidth="1"/>
    <col min="8" max="8" width="13.3333333333333" customWidth="1"/>
  </cols>
  <sheetData>
    <row r="1" spans="1:8">
      <c r="A1" s="72" t="s">
        <v>265</v>
      </c>
      <c r="B1" s="73"/>
      <c r="C1" s="72"/>
      <c r="D1" s="74"/>
      <c r="E1" s="72"/>
      <c r="F1" s="72"/>
      <c r="G1" s="72"/>
      <c r="H1" s="72"/>
    </row>
    <row r="2" spans="1:8">
      <c r="A2" s="75" t="s">
        <v>266</v>
      </c>
      <c r="B2" s="76"/>
      <c r="C2" s="75"/>
      <c r="D2" s="77"/>
      <c r="E2" s="75"/>
      <c r="F2" s="75"/>
      <c r="G2" s="75"/>
      <c r="H2" s="75"/>
    </row>
    <row r="3" ht="60" spans="1:8">
      <c r="A3" s="78" t="s">
        <v>267</v>
      </c>
      <c r="B3" s="78" t="s">
        <v>268</v>
      </c>
      <c r="C3" s="78" t="s">
        <v>269</v>
      </c>
      <c r="D3" s="78" t="s">
        <v>270</v>
      </c>
      <c r="E3" s="78" t="s">
        <v>271</v>
      </c>
      <c r="F3" s="78" t="s">
        <v>272</v>
      </c>
      <c r="G3" s="78" t="s">
        <v>273</v>
      </c>
      <c r="H3" s="78" t="s">
        <v>274</v>
      </c>
    </row>
    <row r="4" ht="30" spans="1:8">
      <c r="A4" s="79">
        <v>1</v>
      </c>
      <c r="B4" s="16" t="s">
        <v>275</v>
      </c>
      <c r="C4" s="80" t="s">
        <v>276</v>
      </c>
      <c r="D4" s="16" t="s">
        <v>277</v>
      </c>
      <c r="E4" s="81">
        <v>62.9</v>
      </c>
      <c r="F4" s="16">
        <v>4</v>
      </c>
      <c r="G4" s="82">
        <f t="shared" ref="G4:G10" si="0">TRUNC(F4*E4,2)</f>
        <v>251.6</v>
      </c>
      <c r="H4" s="82">
        <f t="shared" ref="H4:H10" si="1">TRUNC(G4/12,2)</f>
        <v>20.96</v>
      </c>
    </row>
    <row r="5" ht="45" spans="1:8">
      <c r="A5" s="79">
        <v>2</v>
      </c>
      <c r="B5" s="16" t="s">
        <v>278</v>
      </c>
      <c r="C5" s="80" t="s">
        <v>279</v>
      </c>
      <c r="D5" s="16" t="s">
        <v>277</v>
      </c>
      <c r="E5" s="81">
        <v>145</v>
      </c>
      <c r="F5" s="16">
        <v>2</v>
      </c>
      <c r="G5" s="82">
        <f t="shared" si="0"/>
        <v>290</v>
      </c>
      <c r="H5" s="82">
        <f t="shared" si="1"/>
        <v>24.16</v>
      </c>
    </row>
    <row r="6" ht="60" spans="1:8">
      <c r="A6" s="79">
        <v>3</v>
      </c>
      <c r="B6" s="16" t="s">
        <v>280</v>
      </c>
      <c r="C6" s="80" t="s">
        <v>281</v>
      </c>
      <c r="D6" s="16" t="s">
        <v>277</v>
      </c>
      <c r="E6" s="81">
        <v>66.98</v>
      </c>
      <c r="F6" s="16">
        <v>4</v>
      </c>
      <c r="G6" s="82">
        <f t="shared" si="0"/>
        <v>267.92</v>
      </c>
      <c r="H6" s="82">
        <f t="shared" si="1"/>
        <v>22.32</v>
      </c>
    </row>
    <row r="7" ht="60" spans="1:8">
      <c r="A7" s="79">
        <v>4</v>
      </c>
      <c r="B7" s="16" t="s">
        <v>280</v>
      </c>
      <c r="C7" s="80" t="s">
        <v>282</v>
      </c>
      <c r="D7" s="16" t="s">
        <v>277</v>
      </c>
      <c r="E7" s="81">
        <v>24.99</v>
      </c>
      <c r="F7" s="16">
        <v>4</v>
      </c>
      <c r="G7" s="82">
        <f t="shared" si="0"/>
        <v>99.96</v>
      </c>
      <c r="H7" s="82">
        <f t="shared" si="1"/>
        <v>8.33</v>
      </c>
    </row>
    <row r="8" ht="30" spans="1:8">
      <c r="A8" s="79">
        <v>5</v>
      </c>
      <c r="B8" s="16" t="s">
        <v>283</v>
      </c>
      <c r="C8" s="80" t="s">
        <v>284</v>
      </c>
      <c r="D8" s="16" t="s">
        <v>285</v>
      </c>
      <c r="E8" s="81">
        <v>79.29</v>
      </c>
      <c r="F8" s="16">
        <v>2</v>
      </c>
      <c r="G8" s="82">
        <f t="shared" si="0"/>
        <v>158.58</v>
      </c>
      <c r="H8" s="82">
        <f t="shared" si="1"/>
        <v>13.21</v>
      </c>
    </row>
    <row r="9" ht="45" spans="1:8">
      <c r="A9" s="79">
        <v>6</v>
      </c>
      <c r="B9" s="16" t="s">
        <v>286</v>
      </c>
      <c r="C9" s="80" t="s">
        <v>287</v>
      </c>
      <c r="D9" s="16" t="s">
        <v>285</v>
      </c>
      <c r="E9" s="81">
        <v>8.82</v>
      </c>
      <c r="F9" s="16">
        <v>4</v>
      </c>
      <c r="G9" s="82">
        <f t="shared" si="0"/>
        <v>35.28</v>
      </c>
      <c r="H9" s="82">
        <f t="shared" si="1"/>
        <v>2.94</v>
      </c>
    </row>
    <row r="10" ht="45" spans="1:8">
      <c r="A10" s="79">
        <v>7</v>
      </c>
      <c r="B10" s="16" t="s">
        <v>288</v>
      </c>
      <c r="C10" s="80" t="s">
        <v>289</v>
      </c>
      <c r="D10" s="16" t="s">
        <v>277</v>
      </c>
      <c r="E10" s="81">
        <v>5.8</v>
      </c>
      <c r="F10" s="16">
        <v>1</v>
      </c>
      <c r="G10" s="82">
        <f t="shared" si="0"/>
        <v>5.8</v>
      </c>
      <c r="H10" s="82">
        <f t="shared" si="1"/>
        <v>0.48</v>
      </c>
    </row>
    <row r="11" spans="1:8">
      <c r="A11" s="18" t="s">
        <v>190</v>
      </c>
      <c r="B11" s="18"/>
      <c r="C11" s="18"/>
      <c r="D11" s="18"/>
      <c r="E11" s="18"/>
      <c r="F11" s="18"/>
      <c r="G11" s="19">
        <f>TRUNC(SUM(H4:H10),2)</f>
        <v>92.4</v>
      </c>
      <c r="H11" s="19"/>
    </row>
    <row r="14" spans="1:8">
      <c r="A14" s="72" t="s">
        <v>265</v>
      </c>
      <c r="B14" s="73"/>
      <c r="C14" s="72"/>
      <c r="D14" s="74"/>
      <c r="E14" s="72"/>
      <c r="F14" s="72"/>
      <c r="G14" s="72"/>
      <c r="H14" s="72"/>
    </row>
    <row r="15" spans="1:8">
      <c r="A15" s="75" t="s">
        <v>290</v>
      </c>
      <c r="B15" s="76"/>
      <c r="C15" s="75"/>
      <c r="D15" s="77"/>
      <c r="E15" s="75"/>
      <c r="F15" s="75"/>
      <c r="G15" s="75"/>
      <c r="H15" s="75"/>
    </row>
    <row r="16" ht="60" spans="1:8">
      <c r="A16" s="78" t="s">
        <v>267</v>
      </c>
      <c r="B16" s="78" t="s">
        <v>268</v>
      </c>
      <c r="C16" s="78" t="s">
        <v>269</v>
      </c>
      <c r="D16" s="78" t="s">
        <v>270</v>
      </c>
      <c r="E16" s="78" t="s">
        <v>271</v>
      </c>
      <c r="F16" s="78" t="s">
        <v>272</v>
      </c>
      <c r="G16" s="78" t="s">
        <v>273</v>
      </c>
      <c r="H16" s="78" t="s">
        <v>274</v>
      </c>
    </row>
    <row r="17" ht="30" spans="1:8">
      <c r="A17" s="79">
        <v>1</v>
      </c>
      <c r="B17" s="16" t="s">
        <v>275</v>
      </c>
      <c r="C17" s="80" t="s">
        <v>276</v>
      </c>
      <c r="D17" s="16" t="s">
        <v>277</v>
      </c>
      <c r="E17" s="81">
        <v>62.9</v>
      </c>
      <c r="F17" s="16">
        <v>4</v>
      </c>
      <c r="G17" s="82">
        <f t="shared" ref="G17:G23" si="2">TRUNC(F17*E17,2)</f>
        <v>251.6</v>
      </c>
      <c r="H17" s="82">
        <f t="shared" ref="H17:H23" si="3">TRUNC(G17/12,2)</f>
        <v>20.96</v>
      </c>
    </row>
    <row r="18" ht="60" spans="1:8">
      <c r="A18" s="79">
        <v>2</v>
      </c>
      <c r="B18" s="16" t="s">
        <v>280</v>
      </c>
      <c r="C18" s="80" t="s">
        <v>281</v>
      </c>
      <c r="D18" s="16" t="s">
        <v>277</v>
      </c>
      <c r="E18" s="81">
        <v>66.98</v>
      </c>
      <c r="F18" s="16">
        <v>4</v>
      </c>
      <c r="G18" s="82">
        <f t="shared" si="2"/>
        <v>267.92</v>
      </c>
      <c r="H18" s="82">
        <f t="shared" si="3"/>
        <v>22.32</v>
      </c>
    </row>
    <row r="19" ht="60" spans="1:8">
      <c r="A19" s="79">
        <v>3</v>
      </c>
      <c r="B19" s="16" t="s">
        <v>280</v>
      </c>
      <c r="C19" s="80" t="s">
        <v>282</v>
      </c>
      <c r="D19" s="16" t="s">
        <v>277</v>
      </c>
      <c r="E19" s="81">
        <v>24.99</v>
      </c>
      <c r="F19" s="16">
        <v>4</v>
      </c>
      <c r="G19" s="82">
        <f t="shared" si="2"/>
        <v>99.96</v>
      </c>
      <c r="H19" s="82">
        <f t="shared" si="3"/>
        <v>8.33</v>
      </c>
    </row>
    <row r="20" ht="30" spans="1:8">
      <c r="A20" s="79">
        <v>4</v>
      </c>
      <c r="B20" s="16" t="s">
        <v>283</v>
      </c>
      <c r="C20" s="80" t="s">
        <v>284</v>
      </c>
      <c r="D20" s="16" t="s">
        <v>285</v>
      </c>
      <c r="E20" s="81">
        <v>79.29</v>
      </c>
      <c r="F20" s="16">
        <v>2</v>
      </c>
      <c r="G20" s="82">
        <f t="shared" si="2"/>
        <v>158.58</v>
      </c>
      <c r="H20" s="82">
        <f t="shared" si="3"/>
        <v>13.21</v>
      </c>
    </row>
    <row r="21" ht="45" spans="1:8">
      <c r="A21" s="79">
        <v>5</v>
      </c>
      <c r="B21" s="16" t="s">
        <v>286</v>
      </c>
      <c r="C21" s="80" t="s">
        <v>287</v>
      </c>
      <c r="D21" s="16" t="s">
        <v>285</v>
      </c>
      <c r="E21" s="81">
        <v>8.82</v>
      </c>
      <c r="F21" s="16">
        <v>4</v>
      </c>
      <c r="G21" s="82">
        <f t="shared" si="2"/>
        <v>35.28</v>
      </c>
      <c r="H21" s="82">
        <f t="shared" si="3"/>
        <v>2.94</v>
      </c>
    </row>
    <row r="22" ht="30" spans="1:8">
      <c r="A22" s="79">
        <v>6</v>
      </c>
      <c r="B22" s="16" t="s">
        <v>291</v>
      </c>
      <c r="C22" s="83" t="s">
        <v>292</v>
      </c>
      <c r="D22" s="16" t="s">
        <v>277</v>
      </c>
      <c r="E22" s="81">
        <v>20.23</v>
      </c>
      <c r="F22" s="16">
        <v>2</v>
      </c>
      <c r="G22" s="82">
        <f t="shared" si="2"/>
        <v>40.46</v>
      </c>
      <c r="H22" s="82">
        <f t="shared" si="3"/>
        <v>3.37</v>
      </c>
    </row>
    <row r="23" ht="45" spans="1:8">
      <c r="A23" s="79">
        <v>7</v>
      </c>
      <c r="B23" s="16" t="s">
        <v>288</v>
      </c>
      <c r="C23" s="80" t="s">
        <v>289</v>
      </c>
      <c r="D23" s="16" t="s">
        <v>277</v>
      </c>
      <c r="E23" s="81">
        <v>5.8</v>
      </c>
      <c r="F23" s="16">
        <v>1</v>
      </c>
      <c r="G23" s="82">
        <f t="shared" si="2"/>
        <v>5.8</v>
      </c>
      <c r="H23" s="82">
        <f t="shared" si="3"/>
        <v>0.48</v>
      </c>
    </row>
    <row r="24" spans="1:8">
      <c r="A24" s="18" t="s">
        <v>190</v>
      </c>
      <c r="B24" s="18"/>
      <c r="C24" s="18"/>
      <c r="D24" s="18"/>
      <c r="E24" s="18"/>
      <c r="F24" s="18"/>
      <c r="G24" s="19">
        <f>TRUNC(SUM(H17:H23),2)</f>
        <v>71.61</v>
      </c>
      <c r="H24" s="19"/>
    </row>
    <row r="26" spans="1:8">
      <c r="A26" s="72" t="s">
        <v>265</v>
      </c>
      <c r="B26" s="73"/>
      <c r="C26" s="72"/>
      <c r="D26" s="74"/>
      <c r="E26" s="72"/>
      <c r="F26" s="72"/>
      <c r="G26" s="72"/>
      <c r="H26" s="72"/>
    </row>
    <row r="27" spans="1:8">
      <c r="A27" s="75" t="s">
        <v>293</v>
      </c>
      <c r="B27" s="76"/>
      <c r="C27" s="75"/>
      <c r="D27" s="77"/>
      <c r="E27" s="75"/>
      <c r="F27" s="75"/>
      <c r="G27" s="75"/>
      <c r="H27" s="75"/>
    </row>
    <row r="28" ht="60" spans="1:8">
      <c r="A28" s="78" t="s">
        <v>267</v>
      </c>
      <c r="B28" s="78" t="s">
        <v>268</v>
      </c>
      <c r="C28" s="78" t="s">
        <v>269</v>
      </c>
      <c r="D28" s="78" t="s">
        <v>270</v>
      </c>
      <c r="E28" s="78" t="s">
        <v>271</v>
      </c>
      <c r="F28" s="78" t="s">
        <v>272</v>
      </c>
      <c r="G28" s="78" t="s">
        <v>273</v>
      </c>
      <c r="H28" s="78" t="s">
        <v>274</v>
      </c>
    </row>
    <row r="29" ht="30" spans="1:8">
      <c r="A29" s="79">
        <v>1</v>
      </c>
      <c r="B29" s="16" t="s">
        <v>275</v>
      </c>
      <c r="C29" s="80" t="s">
        <v>294</v>
      </c>
      <c r="D29" s="16" t="s">
        <v>277</v>
      </c>
      <c r="E29" s="81">
        <v>62.9</v>
      </c>
      <c r="F29" s="16">
        <v>4</v>
      </c>
      <c r="G29" s="82">
        <f t="shared" ref="G29:G35" si="4">TRUNC(F29*E29,2)</f>
        <v>251.6</v>
      </c>
      <c r="H29" s="82">
        <f t="shared" ref="H29:H35" si="5">TRUNC(G29/12,2)</f>
        <v>20.96</v>
      </c>
    </row>
    <row r="30" ht="60" spans="1:8">
      <c r="A30" s="79">
        <v>2</v>
      </c>
      <c r="B30" s="16" t="s">
        <v>280</v>
      </c>
      <c r="C30" s="80" t="s">
        <v>281</v>
      </c>
      <c r="D30" s="16" t="s">
        <v>277</v>
      </c>
      <c r="E30" s="81">
        <v>66.98</v>
      </c>
      <c r="F30" s="16">
        <v>4</v>
      </c>
      <c r="G30" s="82">
        <f t="shared" si="4"/>
        <v>267.92</v>
      </c>
      <c r="H30" s="82">
        <f t="shared" si="5"/>
        <v>22.32</v>
      </c>
    </row>
    <row r="31" ht="60" spans="1:8">
      <c r="A31" s="79">
        <v>3</v>
      </c>
      <c r="B31" s="16" t="s">
        <v>280</v>
      </c>
      <c r="C31" s="80" t="s">
        <v>282</v>
      </c>
      <c r="D31" s="16" t="s">
        <v>277</v>
      </c>
      <c r="E31" s="81">
        <v>24.99</v>
      </c>
      <c r="F31" s="16">
        <v>4</v>
      </c>
      <c r="G31" s="82">
        <f t="shared" si="4"/>
        <v>99.96</v>
      </c>
      <c r="H31" s="82">
        <f t="shared" si="5"/>
        <v>8.33</v>
      </c>
    </row>
    <row r="32" ht="90" spans="1:8">
      <c r="A32" s="79">
        <v>4</v>
      </c>
      <c r="B32" s="84" t="s">
        <v>295</v>
      </c>
      <c r="C32" s="80" t="s">
        <v>296</v>
      </c>
      <c r="D32" s="16" t="s">
        <v>285</v>
      </c>
      <c r="E32" s="81">
        <v>23.36</v>
      </c>
      <c r="F32" s="16">
        <v>2</v>
      </c>
      <c r="G32" s="82">
        <f t="shared" si="4"/>
        <v>46.72</v>
      </c>
      <c r="H32" s="82">
        <f t="shared" si="5"/>
        <v>3.89</v>
      </c>
    </row>
    <row r="33" ht="30" spans="1:8">
      <c r="A33" s="79">
        <v>5</v>
      </c>
      <c r="B33" s="16" t="s">
        <v>283</v>
      </c>
      <c r="C33" s="80" t="s">
        <v>284</v>
      </c>
      <c r="D33" s="16" t="s">
        <v>285</v>
      </c>
      <c r="E33" s="81">
        <v>79.29</v>
      </c>
      <c r="F33" s="16">
        <v>2</v>
      </c>
      <c r="G33" s="82">
        <f t="shared" si="4"/>
        <v>158.58</v>
      </c>
      <c r="H33" s="82">
        <f t="shared" si="5"/>
        <v>13.21</v>
      </c>
    </row>
    <row r="34" ht="45" spans="1:8">
      <c r="A34" s="79">
        <v>6</v>
      </c>
      <c r="B34" s="16" t="s">
        <v>286</v>
      </c>
      <c r="C34" s="80" t="s">
        <v>287</v>
      </c>
      <c r="D34" s="16" t="s">
        <v>285</v>
      </c>
      <c r="E34" s="81">
        <v>8.82</v>
      </c>
      <c r="F34" s="16">
        <v>4</v>
      </c>
      <c r="G34" s="82">
        <f t="shared" si="4"/>
        <v>35.28</v>
      </c>
      <c r="H34" s="82">
        <f t="shared" si="5"/>
        <v>2.94</v>
      </c>
    </row>
    <row r="35" ht="45" spans="1:8">
      <c r="A35" s="79">
        <v>7</v>
      </c>
      <c r="B35" s="16" t="s">
        <v>288</v>
      </c>
      <c r="C35" s="80" t="s">
        <v>289</v>
      </c>
      <c r="D35" s="16" t="s">
        <v>277</v>
      </c>
      <c r="E35" s="81">
        <v>5.8</v>
      </c>
      <c r="F35" s="16">
        <v>1</v>
      </c>
      <c r="G35" s="82">
        <f t="shared" si="4"/>
        <v>5.8</v>
      </c>
      <c r="H35" s="82">
        <f t="shared" si="5"/>
        <v>0.48</v>
      </c>
    </row>
    <row r="36" spans="1:8">
      <c r="A36" s="18" t="s">
        <v>190</v>
      </c>
      <c r="B36" s="18"/>
      <c r="C36" s="18"/>
      <c r="D36" s="18"/>
      <c r="E36" s="18"/>
      <c r="F36" s="18"/>
      <c r="G36" s="19">
        <f>TRUNC(SUM(H29:H35),2)</f>
        <v>72.13</v>
      </c>
      <c r="H36" s="19"/>
    </row>
    <row r="39" spans="1:8">
      <c r="A39" s="72" t="s">
        <v>297</v>
      </c>
      <c r="B39" s="73"/>
      <c r="C39" s="72"/>
      <c r="D39" s="74"/>
      <c r="E39" s="72"/>
      <c r="F39" s="72"/>
      <c r="G39" s="72"/>
      <c r="H39" s="72"/>
    </row>
    <row r="40" spans="1:8">
      <c r="A40" s="75" t="s">
        <v>298</v>
      </c>
      <c r="B40" s="76"/>
      <c r="C40" s="75"/>
      <c r="D40" s="77"/>
      <c r="E40" s="75"/>
      <c r="F40" s="75"/>
      <c r="G40" s="75"/>
      <c r="H40" s="75"/>
    </row>
    <row r="41" ht="60" spans="1:8">
      <c r="A41" s="78" t="s">
        <v>267</v>
      </c>
      <c r="B41" s="78" t="s">
        <v>268</v>
      </c>
      <c r="C41" s="78" t="s">
        <v>269</v>
      </c>
      <c r="D41" s="78" t="s">
        <v>270</v>
      </c>
      <c r="E41" s="78" t="s">
        <v>271</v>
      </c>
      <c r="F41" s="78" t="s">
        <v>272</v>
      </c>
      <c r="G41" s="78" t="s">
        <v>273</v>
      </c>
      <c r="H41" s="78" t="s">
        <v>274</v>
      </c>
    </row>
    <row r="42" ht="75" spans="1:8">
      <c r="A42" s="79">
        <v>1</v>
      </c>
      <c r="B42" s="16" t="s">
        <v>275</v>
      </c>
      <c r="C42" s="83" t="s">
        <v>299</v>
      </c>
      <c r="D42" s="16" t="s">
        <v>277</v>
      </c>
      <c r="E42" s="81">
        <v>131.61</v>
      </c>
      <c r="F42" s="16">
        <v>4</v>
      </c>
      <c r="G42" s="82">
        <f t="shared" ref="G42:G57" si="6">TRUNC(F42*E42,2)</f>
        <v>526.44</v>
      </c>
      <c r="H42" s="82">
        <f t="shared" ref="H42:H57" si="7">TRUNC(G42/12,2)</f>
        <v>43.87</v>
      </c>
    </row>
    <row r="43" ht="90" spans="1:8">
      <c r="A43" s="79">
        <v>2</v>
      </c>
      <c r="B43" s="16" t="s">
        <v>280</v>
      </c>
      <c r="C43" s="83" t="s">
        <v>300</v>
      </c>
      <c r="D43" s="16" t="s">
        <v>277</v>
      </c>
      <c r="E43" s="81">
        <v>138.74</v>
      </c>
      <c r="F43" s="16">
        <v>4</v>
      </c>
      <c r="G43" s="82">
        <f t="shared" si="6"/>
        <v>554.96</v>
      </c>
      <c r="H43" s="82">
        <f t="shared" si="7"/>
        <v>46.24</v>
      </c>
    </row>
    <row r="44" ht="60" spans="1:8">
      <c r="A44" s="79">
        <v>3</v>
      </c>
      <c r="B44" s="16" t="s">
        <v>280</v>
      </c>
      <c r="C44" s="85" t="s">
        <v>282</v>
      </c>
      <c r="D44" s="16" t="s">
        <v>277</v>
      </c>
      <c r="E44" s="81">
        <v>24.99</v>
      </c>
      <c r="F44" s="16">
        <v>4</v>
      </c>
      <c r="G44" s="82">
        <f t="shared" si="6"/>
        <v>99.96</v>
      </c>
      <c r="H44" s="82">
        <f t="shared" si="7"/>
        <v>8.33</v>
      </c>
    </row>
    <row r="45" ht="30" spans="1:8">
      <c r="A45" s="79">
        <v>4</v>
      </c>
      <c r="B45" s="84" t="s">
        <v>301</v>
      </c>
      <c r="C45" s="83" t="s">
        <v>302</v>
      </c>
      <c r="D45" s="16" t="s">
        <v>277</v>
      </c>
      <c r="E45" s="81">
        <v>11.23</v>
      </c>
      <c r="F45" s="16">
        <v>2</v>
      </c>
      <c r="G45" s="82">
        <f t="shared" si="6"/>
        <v>22.46</v>
      </c>
      <c r="H45" s="82">
        <f t="shared" si="7"/>
        <v>1.87</v>
      </c>
    </row>
    <row r="46" ht="90" spans="1:8">
      <c r="A46" s="79">
        <v>5</v>
      </c>
      <c r="B46" s="84" t="s">
        <v>295</v>
      </c>
      <c r="C46" s="83" t="s">
        <v>296</v>
      </c>
      <c r="D46" s="16" t="s">
        <v>285</v>
      </c>
      <c r="E46" s="81">
        <v>23.36</v>
      </c>
      <c r="F46" s="16">
        <v>2</v>
      </c>
      <c r="G46" s="82">
        <f t="shared" si="6"/>
        <v>46.72</v>
      </c>
      <c r="H46" s="82">
        <f t="shared" si="7"/>
        <v>3.89</v>
      </c>
    </row>
    <row r="47" ht="105" spans="1:8">
      <c r="A47" s="79">
        <v>6</v>
      </c>
      <c r="B47" s="16" t="s">
        <v>283</v>
      </c>
      <c r="C47" s="83" t="s">
        <v>303</v>
      </c>
      <c r="D47" s="16" t="s">
        <v>285</v>
      </c>
      <c r="E47" s="81">
        <v>89.5</v>
      </c>
      <c r="F47" s="16">
        <v>2</v>
      </c>
      <c r="G47" s="82">
        <f t="shared" si="6"/>
        <v>179</v>
      </c>
      <c r="H47" s="82">
        <f t="shared" si="7"/>
        <v>14.91</v>
      </c>
    </row>
    <row r="48" ht="45" spans="1:8">
      <c r="A48" s="79">
        <v>7</v>
      </c>
      <c r="B48" s="16" t="s">
        <v>286</v>
      </c>
      <c r="C48" s="83" t="s">
        <v>287</v>
      </c>
      <c r="D48" s="16" t="s">
        <v>285</v>
      </c>
      <c r="E48" s="81">
        <v>8.82</v>
      </c>
      <c r="F48" s="16">
        <v>4</v>
      </c>
      <c r="G48" s="82">
        <f t="shared" si="6"/>
        <v>35.28</v>
      </c>
      <c r="H48" s="82">
        <f t="shared" si="7"/>
        <v>2.94</v>
      </c>
    </row>
    <row r="49" ht="45" spans="1:8">
      <c r="A49" s="79">
        <v>8</v>
      </c>
      <c r="B49" s="16" t="s">
        <v>288</v>
      </c>
      <c r="C49" s="83" t="s">
        <v>289</v>
      </c>
      <c r="D49" s="16" t="s">
        <v>277</v>
      </c>
      <c r="E49" s="81">
        <v>5.8</v>
      </c>
      <c r="F49" s="16">
        <v>1</v>
      </c>
      <c r="G49" s="82">
        <f t="shared" si="6"/>
        <v>5.8</v>
      </c>
      <c r="H49" s="82">
        <f t="shared" si="7"/>
        <v>0.48</v>
      </c>
    </row>
    <row r="50" ht="120" spans="1:8">
      <c r="A50" s="79">
        <v>9</v>
      </c>
      <c r="B50" s="16" t="s">
        <v>304</v>
      </c>
      <c r="C50" s="83" t="s">
        <v>305</v>
      </c>
      <c r="D50" s="16" t="s">
        <v>277</v>
      </c>
      <c r="E50" s="81">
        <v>16.2</v>
      </c>
      <c r="F50" s="16">
        <v>1</v>
      </c>
      <c r="G50" s="82">
        <f t="shared" si="6"/>
        <v>16.2</v>
      </c>
      <c r="H50" s="82">
        <f t="shared" si="7"/>
        <v>1.35</v>
      </c>
    </row>
    <row r="51" ht="60" spans="1:8">
      <c r="A51" s="79">
        <v>10</v>
      </c>
      <c r="B51" s="16" t="s">
        <v>306</v>
      </c>
      <c r="C51" s="83" t="s">
        <v>307</v>
      </c>
      <c r="D51" s="16" t="s">
        <v>308</v>
      </c>
      <c r="E51" s="81">
        <v>222.4</v>
      </c>
      <c r="F51" s="16">
        <v>1</v>
      </c>
      <c r="G51" s="82">
        <f t="shared" si="6"/>
        <v>222.4</v>
      </c>
      <c r="H51" s="82">
        <f t="shared" si="7"/>
        <v>18.53</v>
      </c>
    </row>
    <row r="52" ht="45" spans="1:8">
      <c r="A52" s="79">
        <v>11</v>
      </c>
      <c r="B52" s="16" t="s">
        <v>309</v>
      </c>
      <c r="C52" s="83" t="s">
        <v>310</v>
      </c>
      <c r="D52" s="16" t="s">
        <v>285</v>
      </c>
      <c r="E52" s="81">
        <v>497.03</v>
      </c>
      <c r="F52" s="16">
        <v>1</v>
      </c>
      <c r="G52" s="82">
        <f t="shared" si="6"/>
        <v>497.03</v>
      </c>
      <c r="H52" s="82">
        <f t="shared" si="7"/>
        <v>41.41</v>
      </c>
    </row>
    <row r="53" ht="60" spans="1:8">
      <c r="A53" s="79">
        <v>12</v>
      </c>
      <c r="B53" s="16" t="s">
        <v>309</v>
      </c>
      <c r="C53" s="83" t="s">
        <v>311</v>
      </c>
      <c r="D53" s="16" t="s">
        <v>285</v>
      </c>
      <c r="E53" s="81">
        <v>3.8</v>
      </c>
      <c r="F53" s="16">
        <v>6</v>
      </c>
      <c r="G53" s="82">
        <f t="shared" si="6"/>
        <v>22.8</v>
      </c>
      <c r="H53" s="82">
        <f t="shared" si="7"/>
        <v>1.9</v>
      </c>
    </row>
    <row r="54" ht="75" spans="1:8">
      <c r="A54" s="79">
        <v>13</v>
      </c>
      <c r="B54" s="16" t="s">
        <v>312</v>
      </c>
      <c r="C54" s="83" t="s">
        <v>313</v>
      </c>
      <c r="D54" s="16" t="s">
        <v>277</v>
      </c>
      <c r="E54" s="81">
        <v>7</v>
      </c>
      <c r="F54" s="16">
        <v>2</v>
      </c>
      <c r="G54" s="82">
        <f t="shared" si="6"/>
        <v>14</v>
      </c>
      <c r="H54" s="82">
        <f t="shared" si="7"/>
        <v>1.16</v>
      </c>
    </row>
    <row r="55" ht="45" spans="1:8">
      <c r="A55" s="79">
        <v>14</v>
      </c>
      <c r="B55" s="16" t="s">
        <v>314</v>
      </c>
      <c r="C55" s="83" t="s">
        <v>315</v>
      </c>
      <c r="D55" s="16" t="s">
        <v>277</v>
      </c>
      <c r="E55" s="81">
        <v>1.57</v>
      </c>
      <c r="F55" s="16">
        <v>4</v>
      </c>
      <c r="G55" s="82">
        <f t="shared" si="6"/>
        <v>6.28</v>
      </c>
      <c r="H55" s="82">
        <f t="shared" si="7"/>
        <v>0.52</v>
      </c>
    </row>
    <row r="56" ht="30" spans="1:8">
      <c r="A56" s="79">
        <v>15</v>
      </c>
      <c r="B56" s="16" t="s">
        <v>316</v>
      </c>
      <c r="C56" s="83" t="s">
        <v>317</v>
      </c>
      <c r="D56" s="16" t="s">
        <v>277</v>
      </c>
      <c r="E56" s="81">
        <v>28</v>
      </c>
      <c r="F56" s="16">
        <v>4</v>
      </c>
      <c r="G56" s="82">
        <f t="shared" si="6"/>
        <v>112</v>
      </c>
      <c r="H56" s="82">
        <f t="shared" si="7"/>
        <v>9.33</v>
      </c>
    </row>
    <row r="57" ht="105" spans="1:8">
      <c r="A57" s="79">
        <v>16</v>
      </c>
      <c r="B57" s="16" t="s">
        <v>318</v>
      </c>
      <c r="C57" s="83" t="s">
        <v>319</v>
      </c>
      <c r="D57" s="16" t="s">
        <v>277</v>
      </c>
      <c r="E57" s="81">
        <v>3.55</v>
      </c>
      <c r="F57" s="16">
        <v>12</v>
      </c>
      <c r="G57" s="82">
        <f t="shared" si="6"/>
        <v>42.6</v>
      </c>
      <c r="H57" s="82">
        <f t="shared" si="7"/>
        <v>3.55</v>
      </c>
    </row>
    <row r="58" spans="1:8">
      <c r="A58" s="18" t="s">
        <v>190</v>
      </c>
      <c r="B58" s="18"/>
      <c r="C58" s="18"/>
      <c r="D58" s="18"/>
      <c r="E58" s="18"/>
      <c r="F58" s="18"/>
      <c r="G58" s="19">
        <f>TRUNC(SUM(H42:H57),2)</f>
        <v>200.28</v>
      </c>
      <c r="H58" s="19"/>
    </row>
    <row r="61" spans="1:8">
      <c r="A61" s="86" t="s">
        <v>297</v>
      </c>
      <c r="B61" s="87"/>
      <c r="C61" s="86"/>
      <c r="D61" s="88"/>
      <c r="E61" s="86"/>
      <c r="F61" s="86"/>
      <c r="G61" s="86"/>
      <c r="H61" s="86"/>
    </row>
    <row r="62" spans="1:8">
      <c r="A62" s="75" t="s">
        <v>320</v>
      </c>
      <c r="B62" s="76"/>
      <c r="C62" s="75"/>
      <c r="D62" s="77"/>
      <c r="E62" s="75"/>
      <c r="F62" s="75"/>
      <c r="G62" s="75"/>
      <c r="H62" s="75"/>
    </row>
    <row r="63" ht="60" spans="1:8">
      <c r="A63" s="89" t="s">
        <v>267</v>
      </c>
      <c r="B63" s="89" t="s">
        <v>268</v>
      </c>
      <c r="C63" s="89" t="s">
        <v>269</v>
      </c>
      <c r="D63" s="89" t="s">
        <v>270</v>
      </c>
      <c r="E63" s="89" t="s">
        <v>271</v>
      </c>
      <c r="F63" s="89" t="s">
        <v>272</v>
      </c>
      <c r="G63" s="89" t="s">
        <v>273</v>
      </c>
      <c r="H63" s="89" t="s">
        <v>274</v>
      </c>
    </row>
    <row r="64" ht="60" spans="1:8">
      <c r="A64" s="79">
        <v>1</v>
      </c>
      <c r="B64" s="16" t="s">
        <v>275</v>
      </c>
      <c r="C64" s="80" t="s">
        <v>321</v>
      </c>
      <c r="D64" s="16" t="s">
        <v>277</v>
      </c>
      <c r="E64" s="81">
        <v>52.53</v>
      </c>
      <c r="F64" s="16">
        <v>4</v>
      </c>
      <c r="G64" s="82">
        <f t="shared" ref="G64:G79" si="8">TRUNC(F64*E64,2)</f>
        <v>210.12</v>
      </c>
      <c r="H64" s="82">
        <f t="shared" ref="H64:H79" si="9">TRUNC(G64/12,2)</f>
        <v>17.51</v>
      </c>
    </row>
    <row r="65" ht="60" spans="1:8">
      <c r="A65" s="79">
        <v>2</v>
      </c>
      <c r="B65" s="16" t="s">
        <v>280</v>
      </c>
      <c r="C65" s="80" t="s">
        <v>322</v>
      </c>
      <c r="D65" s="16" t="s">
        <v>277</v>
      </c>
      <c r="E65" s="81">
        <v>45.6</v>
      </c>
      <c r="F65" s="16">
        <v>4</v>
      </c>
      <c r="G65" s="82">
        <f t="shared" si="8"/>
        <v>182.4</v>
      </c>
      <c r="H65" s="82">
        <f t="shared" si="9"/>
        <v>15.2</v>
      </c>
    </row>
    <row r="66" ht="60" spans="1:8">
      <c r="A66" s="79">
        <v>3</v>
      </c>
      <c r="B66" s="16" t="s">
        <v>280</v>
      </c>
      <c r="C66" s="80" t="s">
        <v>282</v>
      </c>
      <c r="D66" s="16" t="s">
        <v>277</v>
      </c>
      <c r="E66" s="81">
        <v>24.99</v>
      </c>
      <c r="F66" s="16">
        <v>4</v>
      </c>
      <c r="G66" s="82">
        <f t="shared" si="8"/>
        <v>99.96</v>
      </c>
      <c r="H66" s="82">
        <f t="shared" si="9"/>
        <v>8.33</v>
      </c>
    </row>
    <row r="67" ht="30" spans="1:8">
      <c r="A67" s="79">
        <v>4</v>
      </c>
      <c r="B67" s="84" t="s">
        <v>301</v>
      </c>
      <c r="C67" s="80" t="s">
        <v>302</v>
      </c>
      <c r="D67" s="16" t="s">
        <v>277</v>
      </c>
      <c r="E67" s="81">
        <v>11.23</v>
      </c>
      <c r="F67" s="16">
        <v>2</v>
      </c>
      <c r="G67" s="82">
        <f t="shared" si="8"/>
        <v>22.46</v>
      </c>
      <c r="H67" s="82">
        <f t="shared" si="9"/>
        <v>1.87</v>
      </c>
    </row>
    <row r="68" ht="90" spans="1:8">
      <c r="A68" s="79">
        <v>5</v>
      </c>
      <c r="B68" s="84" t="s">
        <v>295</v>
      </c>
      <c r="C68" s="80" t="s">
        <v>296</v>
      </c>
      <c r="D68" s="16" t="s">
        <v>285</v>
      </c>
      <c r="E68" s="81">
        <v>23.36</v>
      </c>
      <c r="F68" s="16">
        <v>2</v>
      </c>
      <c r="G68" s="82">
        <f t="shared" si="8"/>
        <v>46.72</v>
      </c>
      <c r="H68" s="82">
        <f t="shared" si="9"/>
        <v>3.89</v>
      </c>
    </row>
    <row r="69" ht="60" spans="1:8">
      <c r="A69" s="79">
        <v>6</v>
      </c>
      <c r="B69" s="16" t="s">
        <v>283</v>
      </c>
      <c r="C69" s="80" t="s">
        <v>323</v>
      </c>
      <c r="D69" s="16" t="s">
        <v>285</v>
      </c>
      <c r="E69" s="81">
        <v>55.76</v>
      </c>
      <c r="F69" s="16">
        <v>2</v>
      </c>
      <c r="G69" s="82">
        <f t="shared" si="8"/>
        <v>111.52</v>
      </c>
      <c r="H69" s="82">
        <f t="shared" si="9"/>
        <v>9.29</v>
      </c>
    </row>
    <row r="70" ht="105" spans="1:8">
      <c r="A70" s="79">
        <v>7</v>
      </c>
      <c r="B70" s="16" t="s">
        <v>283</v>
      </c>
      <c r="C70" s="80" t="s">
        <v>324</v>
      </c>
      <c r="D70" s="16" t="s">
        <v>285</v>
      </c>
      <c r="E70" s="81">
        <v>35.16</v>
      </c>
      <c r="F70" s="16">
        <v>1</v>
      </c>
      <c r="G70" s="82">
        <f t="shared" si="8"/>
        <v>35.16</v>
      </c>
      <c r="H70" s="82">
        <f t="shared" si="9"/>
        <v>2.93</v>
      </c>
    </row>
    <row r="71" ht="45" spans="1:8">
      <c r="A71" s="79">
        <v>8</v>
      </c>
      <c r="B71" s="16" t="s">
        <v>286</v>
      </c>
      <c r="C71" s="80" t="s">
        <v>287</v>
      </c>
      <c r="D71" s="16" t="s">
        <v>285</v>
      </c>
      <c r="E71" s="81">
        <v>8.82</v>
      </c>
      <c r="F71" s="16">
        <v>4</v>
      </c>
      <c r="G71" s="82">
        <f t="shared" si="8"/>
        <v>35.28</v>
      </c>
      <c r="H71" s="82">
        <f t="shared" si="9"/>
        <v>2.94</v>
      </c>
    </row>
    <row r="72" ht="45" spans="1:8">
      <c r="A72" s="79">
        <v>9</v>
      </c>
      <c r="B72" s="16" t="s">
        <v>288</v>
      </c>
      <c r="C72" s="80" t="s">
        <v>289</v>
      </c>
      <c r="D72" s="16" t="s">
        <v>277</v>
      </c>
      <c r="E72" s="81">
        <v>5.8</v>
      </c>
      <c r="F72" s="16">
        <v>1</v>
      </c>
      <c r="G72" s="82">
        <f t="shared" si="8"/>
        <v>5.8</v>
      </c>
      <c r="H72" s="82">
        <f t="shared" si="9"/>
        <v>0.48</v>
      </c>
    </row>
    <row r="73" ht="60" spans="1:8">
      <c r="A73" s="79">
        <v>10</v>
      </c>
      <c r="B73" s="16" t="s">
        <v>304</v>
      </c>
      <c r="C73" s="80" t="s">
        <v>325</v>
      </c>
      <c r="D73" s="16" t="s">
        <v>277</v>
      </c>
      <c r="E73" s="81">
        <v>36.92</v>
      </c>
      <c r="F73" s="16">
        <v>1</v>
      </c>
      <c r="G73" s="82">
        <f t="shared" si="8"/>
        <v>36.92</v>
      </c>
      <c r="H73" s="82">
        <f t="shared" si="9"/>
        <v>3.07</v>
      </c>
    </row>
    <row r="74" ht="60" spans="1:8">
      <c r="A74" s="79">
        <v>11</v>
      </c>
      <c r="B74" s="16" t="s">
        <v>306</v>
      </c>
      <c r="C74" s="80" t="s">
        <v>307</v>
      </c>
      <c r="D74" s="16" t="s">
        <v>308</v>
      </c>
      <c r="E74" s="81">
        <v>222.4</v>
      </c>
      <c r="F74" s="16">
        <v>1</v>
      </c>
      <c r="G74" s="82">
        <f t="shared" si="8"/>
        <v>222.4</v>
      </c>
      <c r="H74" s="82">
        <f t="shared" si="9"/>
        <v>18.53</v>
      </c>
    </row>
    <row r="75" ht="60" spans="1:8">
      <c r="A75" s="79">
        <v>12</v>
      </c>
      <c r="B75" s="16" t="s">
        <v>309</v>
      </c>
      <c r="C75" s="80" t="s">
        <v>311</v>
      </c>
      <c r="D75" s="16" t="s">
        <v>285</v>
      </c>
      <c r="E75" s="81">
        <v>3.8</v>
      </c>
      <c r="F75" s="16">
        <v>6</v>
      </c>
      <c r="G75" s="82">
        <f t="shared" si="8"/>
        <v>22.8</v>
      </c>
      <c r="H75" s="82">
        <f t="shared" si="9"/>
        <v>1.9</v>
      </c>
    </row>
    <row r="76" ht="75" spans="1:8">
      <c r="A76" s="79">
        <v>13</v>
      </c>
      <c r="B76" s="16" t="s">
        <v>312</v>
      </c>
      <c r="C76" s="80" t="s">
        <v>313</v>
      </c>
      <c r="D76" s="16" t="s">
        <v>277</v>
      </c>
      <c r="E76" s="81">
        <v>7</v>
      </c>
      <c r="F76" s="16">
        <v>2</v>
      </c>
      <c r="G76" s="82">
        <f t="shared" si="8"/>
        <v>14</v>
      </c>
      <c r="H76" s="82">
        <f t="shared" si="9"/>
        <v>1.16</v>
      </c>
    </row>
    <row r="77" ht="45" spans="1:8">
      <c r="A77" s="79">
        <v>14</v>
      </c>
      <c r="B77" s="16" t="s">
        <v>314</v>
      </c>
      <c r="C77" s="80" t="s">
        <v>315</v>
      </c>
      <c r="D77" s="16" t="s">
        <v>277</v>
      </c>
      <c r="E77" s="81">
        <v>1.57</v>
      </c>
      <c r="F77" s="16">
        <v>4</v>
      </c>
      <c r="G77" s="82">
        <f t="shared" si="8"/>
        <v>6.28</v>
      </c>
      <c r="H77" s="82">
        <f t="shared" si="9"/>
        <v>0.52</v>
      </c>
    </row>
    <row r="78" ht="30" spans="1:8">
      <c r="A78" s="79">
        <v>15</v>
      </c>
      <c r="B78" s="16" t="s">
        <v>316</v>
      </c>
      <c r="C78" s="80" t="s">
        <v>317</v>
      </c>
      <c r="D78" s="16" t="s">
        <v>277</v>
      </c>
      <c r="E78" s="81">
        <v>28</v>
      </c>
      <c r="F78" s="16">
        <v>4</v>
      </c>
      <c r="G78" s="82">
        <f t="shared" si="8"/>
        <v>112</v>
      </c>
      <c r="H78" s="82">
        <f t="shared" si="9"/>
        <v>9.33</v>
      </c>
    </row>
    <row r="79" ht="105" spans="1:8">
      <c r="A79" s="79">
        <v>16</v>
      </c>
      <c r="B79" s="79" t="s">
        <v>318</v>
      </c>
      <c r="C79" s="80" t="s">
        <v>319</v>
      </c>
      <c r="D79" s="16" t="s">
        <v>277</v>
      </c>
      <c r="E79" s="81">
        <v>3.55</v>
      </c>
      <c r="F79" s="16">
        <v>12</v>
      </c>
      <c r="G79" s="82">
        <f t="shared" si="8"/>
        <v>42.6</v>
      </c>
      <c r="H79" s="82">
        <f t="shared" si="9"/>
        <v>3.55</v>
      </c>
    </row>
    <row r="80" spans="1:8">
      <c r="A80" s="11" t="s">
        <v>190</v>
      </c>
      <c r="B80" s="11"/>
      <c r="C80" s="11"/>
      <c r="D80" s="11"/>
      <c r="E80" s="11"/>
      <c r="F80" s="11"/>
      <c r="G80" s="90">
        <f>TRUNC(SUM(H64:H79),2)</f>
        <v>100.5</v>
      </c>
      <c r="H80" s="90"/>
    </row>
    <row r="81" spans="1:8">
      <c r="A81" s="91"/>
      <c r="B81" s="92"/>
      <c r="C81" s="91"/>
      <c r="D81" s="93"/>
      <c r="E81" s="91"/>
      <c r="F81" s="91"/>
      <c r="G81" s="91"/>
      <c r="H81" s="91"/>
    </row>
    <row r="82" spans="1:8">
      <c r="A82" s="91"/>
      <c r="B82" s="92"/>
      <c r="C82" s="91"/>
      <c r="D82" s="93"/>
      <c r="E82" s="91"/>
      <c r="F82" s="91"/>
      <c r="G82" s="91"/>
      <c r="H82" s="91"/>
    </row>
    <row r="83" spans="1:8">
      <c r="A83" s="86" t="s">
        <v>297</v>
      </c>
      <c r="B83" s="87"/>
      <c r="C83" s="86"/>
      <c r="D83" s="88"/>
      <c r="E83" s="86"/>
      <c r="F83" s="86"/>
      <c r="G83" s="86"/>
      <c r="H83" s="86"/>
    </row>
    <row r="84" spans="1:8">
      <c r="A84" s="75" t="s">
        <v>326</v>
      </c>
      <c r="B84" s="76"/>
      <c r="C84" s="75"/>
      <c r="D84" s="77"/>
      <c r="E84" s="75"/>
      <c r="F84" s="75"/>
      <c r="G84" s="75"/>
      <c r="H84" s="75"/>
    </row>
    <row r="85" ht="60" spans="1:8">
      <c r="A85" s="89" t="s">
        <v>267</v>
      </c>
      <c r="B85" s="89" t="s">
        <v>268</v>
      </c>
      <c r="C85" s="89" t="s">
        <v>269</v>
      </c>
      <c r="D85" s="89" t="s">
        <v>270</v>
      </c>
      <c r="E85" s="89" t="s">
        <v>271</v>
      </c>
      <c r="F85" s="89" t="s">
        <v>272</v>
      </c>
      <c r="G85" s="89" t="s">
        <v>273</v>
      </c>
      <c r="H85" s="89" t="s">
        <v>274</v>
      </c>
    </row>
    <row r="86" ht="60" spans="1:8">
      <c r="A86" s="79">
        <v>1</v>
      </c>
      <c r="B86" s="16" t="s">
        <v>275</v>
      </c>
      <c r="C86" s="83" t="s">
        <v>321</v>
      </c>
      <c r="D86" s="16" t="s">
        <v>277</v>
      </c>
      <c r="E86" s="81">
        <v>52.53</v>
      </c>
      <c r="F86" s="16">
        <v>4</v>
      </c>
      <c r="G86" s="82">
        <f>TRUNC(F86*E86,2)</f>
        <v>210.12</v>
      </c>
      <c r="H86" s="82">
        <f>TRUNC(G86/12,2)</f>
        <v>17.51</v>
      </c>
    </row>
    <row r="87" ht="60" spans="1:8">
      <c r="A87" s="79">
        <v>2</v>
      </c>
      <c r="B87" s="16" t="s">
        <v>280</v>
      </c>
      <c r="C87" s="83" t="s">
        <v>322</v>
      </c>
      <c r="D87" s="16" t="s">
        <v>277</v>
      </c>
      <c r="E87" s="81">
        <v>45.6</v>
      </c>
      <c r="F87" s="16">
        <v>4</v>
      </c>
      <c r="G87" s="82">
        <f t="shared" ref="G87:G100" si="10">TRUNC(F87*E87,2)</f>
        <v>182.4</v>
      </c>
      <c r="H87" s="82">
        <f t="shared" ref="H87:H100" si="11">TRUNC(G87/12,2)</f>
        <v>15.2</v>
      </c>
    </row>
    <row r="88" ht="60" spans="1:8">
      <c r="A88" s="79">
        <v>3</v>
      </c>
      <c r="B88" s="16" t="s">
        <v>280</v>
      </c>
      <c r="C88" s="85" t="s">
        <v>282</v>
      </c>
      <c r="D88" s="16" t="s">
        <v>277</v>
      </c>
      <c r="E88" s="81">
        <v>24.99</v>
      </c>
      <c r="F88" s="16">
        <v>4</v>
      </c>
      <c r="G88" s="82">
        <f t="shared" si="10"/>
        <v>99.96</v>
      </c>
      <c r="H88" s="82">
        <f t="shared" si="11"/>
        <v>8.33</v>
      </c>
    </row>
    <row r="89" ht="30" spans="1:8">
      <c r="A89" s="79">
        <v>4</v>
      </c>
      <c r="B89" s="84" t="s">
        <v>301</v>
      </c>
      <c r="C89" s="83" t="s">
        <v>302</v>
      </c>
      <c r="D89" s="16" t="s">
        <v>277</v>
      </c>
      <c r="E89" s="81">
        <v>11.23</v>
      </c>
      <c r="F89" s="16">
        <v>2</v>
      </c>
      <c r="G89" s="82">
        <f t="shared" si="10"/>
        <v>22.46</v>
      </c>
      <c r="H89" s="82">
        <f t="shared" si="11"/>
        <v>1.87</v>
      </c>
    </row>
    <row r="90" ht="90" spans="1:8">
      <c r="A90" s="79">
        <v>5</v>
      </c>
      <c r="B90" s="84" t="s">
        <v>295</v>
      </c>
      <c r="C90" s="83" t="s">
        <v>296</v>
      </c>
      <c r="D90" s="16" t="s">
        <v>285</v>
      </c>
      <c r="E90" s="81">
        <v>23.36</v>
      </c>
      <c r="F90" s="16">
        <v>2</v>
      </c>
      <c r="G90" s="82">
        <f t="shared" si="10"/>
        <v>46.72</v>
      </c>
      <c r="H90" s="82">
        <f t="shared" si="11"/>
        <v>3.89</v>
      </c>
    </row>
    <row r="91" ht="60" spans="1:8">
      <c r="A91" s="79">
        <v>6</v>
      </c>
      <c r="B91" s="16" t="s">
        <v>283</v>
      </c>
      <c r="C91" s="83" t="s">
        <v>327</v>
      </c>
      <c r="D91" s="16" t="s">
        <v>285</v>
      </c>
      <c r="E91" s="81">
        <v>55.76</v>
      </c>
      <c r="F91" s="16">
        <v>2</v>
      </c>
      <c r="G91" s="82">
        <f t="shared" si="10"/>
        <v>111.52</v>
      </c>
      <c r="H91" s="82">
        <f t="shared" si="11"/>
        <v>9.29</v>
      </c>
    </row>
    <row r="92" ht="45" spans="1:8">
      <c r="A92" s="79">
        <v>7</v>
      </c>
      <c r="B92" s="16" t="s">
        <v>286</v>
      </c>
      <c r="C92" s="83" t="s">
        <v>287</v>
      </c>
      <c r="D92" s="16" t="s">
        <v>285</v>
      </c>
      <c r="E92" s="81">
        <v>8.82</v>
      </c>
      <c r="F92" s="16">
        <v>4</v>
      </c>
      <c r="G92" s="82">
        <f t="shared" si="10"/>
        <v>35.28</v>
      </c>
      <c r="H92" s="82">
        <f t="shared" si="11"/>
        <v>2.94</v>
      </c>
    </row>
    <row r="93" ht="45" spans="1:8">
      <c r="A93" s="79">
        <v>8</v>
      </c>
      <c r="B93" s="16" t="s">
        <v>288</v>
      </c>
      <c r="C93" s="83" t="s">
        <v>289</v>
      </c>
      <c r="D93" s="16" t="s">
        <v>277</v>
      </c>
      <c r="E93" s="81">
        <v>5.8</v>
      </c>
      <c r="F93" s="16">
        <v>1</v>
      </c>
      <c r="G93" s="82">
        <f t="shared" si="10"/>
        <v>5.8</v>
      </c>
      <c r="H93" s="82">
        <f t="shared" si="11"/>
        <v>0.48</v>
      </c>
    </row>
    <row r="94" ht="60" spans="1:8">
      <c r="A94" s="79">
        <v>9</v>
      </c>
      <c r="B94" s="16" t="s">
        <v>304</v>
      </c>
      <c r="C94" s="83" t="s">
        <v>325</v>
      </c>
      <c r="D94" s="16" t="s">
        <v>277</v>
      </c>
      <c r="E94" s="81">
        <v>36.92</v>
      </c>
      <c r="F94" s="16">
        <v>1</v>
      </c>
      <c r="G94" s="82">
        <f t="shared" si="10"/>
        <v>36.92</v>
      </c>
      <c r="H94" s="82">
        <f t="shared" si="11"/>
        <v>3.07</v>
      </c>
    </row>
    <row r="95" ht="60" spans="1:8">
      <c r="A95" s="79">
        <v>10</v>
      </c>
      <c r="B95" s="16" t="s">
        <v>306</v>
      </c>
      <c r="C95" s="83" t="s">
        <v>307</v>
      </c>
      <c r="D95" s="16" t="s">
        <v>308</v>
      </c>
      <c r="E95" s="81">
        <v>222.4</v>
      </c>
      <c r="F95" s="16">
        <v>1</v>
      </c>
      <c r="G95" s="82">
        <f t="shared" si="10"/>
        <v>222.4</v>
      </c>
      <c r="H95" s="82">
        <f t="shared" si="11"/>
        <v>18.53</v>
      </c>
    </row>
    <row r="96" ht="60" spans="1:8">
      <c r="A96" s="79">
        <v>11</v>
      </c>
      <c r="B96" s="16" t="s">
        <v>309</v>
      </c>
      <c r="C96" s="83" t="s">
        <v>311</v>
      </c>
      <c r="D96" s="16" t="s">
        <v>285</v>
      </c>
      <c r="E96" s="81">
        <v>3.8</v>
      </c>
      <c r="F96" s="16">
        <v>6</v>
      </c>
      <c r="G96" s="82">
        <f t="shared" si="10"/>
        <v>22.8</v>
      </c>
      <c r="H96" s="82">
        <f t="shared" si="11"/>
        <v>1.9</v>
      </c>
    </row>
    <row r="97" ht="75" spans="1:8">
      <c r="A97" s="79">
        <v>12</v>
      </c>
      <c r="B97" s="16" t="s">
        <v>312</v>
      </c>
      <c r="C97" s="83" t="s">
        <v>313</v>
      </c>
      <c r="D97" s="16" t="s">
        <v>277</v>
      </c>
      <c r="E97" s="81">
        <v>7</v>
      </c>
      <c r="F97" s="16">
        <v>2</v>
      </c>
      <c r="G97" s="82">
        <f t="shared" si="10"/>
        <v>14</v>
      </c>
      <c r="H97" s="82">
        <f t="shared" si="11"/>
        <v>1.16</v>
      </c>
    </row>
    <row r="98" ht="45" spans="1:8">
      <c r="A98" s="79">
        <v>13</v>
      </c>
      <c r="B98" s="16" t="s">
        <v>314</v>
      </c>
      <c r="C98" s="83" t="s">
        <v>315</v>
      </c>
      <c r="D98" s="16" t="s">
        <v>277</v>
      </c>
      <c r="E98" s="81">
        <v>1.57</v>
      </c>
      <c r="F98" s="16">
        <v>4</v>
      </c>
      <c r="G98" s="82">
        <f t="shared" si="10"/>
        <v>6.28</v>
      </c>
      <c r="H98" s="82">
        <f t="shared" si="11"/>
        <v>0.52</v>
      </c>
    </row>
    <row r="99" ht="30" spans="1:8">
      <c r="A99" s="79">
        <v>14</v>
      </c>
      <c r="B99" s="16" t="s">
        <v>316</v>
      </c>
      <c r="C99" s="83" t="s">
        <v>317</v>
      </c>
      <c r="D99" s="16" t="s">
        <v>277</v>
      </c>
      <c r="E99" s="81">
        <v>28</v>
      </c>
      <c r="F99" s="16">
        <v>4</v>
      </c>
      <c r="G99" s="82">
        <f t="shared" si="10"/>
        <v>112</v>
      </c>
      <c r="H99" s="82">
        <f t="shared" si="11"/>
        <v>9.33</v>
      </c>
    </row>
    <row r="100" ht="105" spans="1:8">
      <c r="A100" s="79">
        <v>15</v>
      </c>
      <c r="B100" s="16" t="s">
        <v>318</v>
      </c>
      <c r="C100" s="83" t="s">
        <v>319</v>
      </c>
      <c r="D100" s="16" t="s">
        <v>277</v>
      </c>
      <c r="E100" s="81">
        <v>3.55</v>
      </c>
      <c r="F100" s="16">
        <v>12</v>
      </c>
      <c r="G100" s="82">
        <f t="shared" si="10"/>
        <v>42.6</v>
      </c>
      <c r="H100" s="82">
        <f t="shared" si="11"/>
        <v>3.55</v>
      </c>
    </row>
    <row r="101" spans="1:8">
      <c r="A101" s="11" t="s">
        <v>190</v>
      </c>
      <c r="B101" s="11"/>
      <c r="C101" s="11"/>
      <c r="D101" s="11"/>
      <c r="E101" s="11"/>
      <c r="F101" s="11"/>
      <c r="G101" s="90">
        <f>TRUNC(SUM(H86:H100),2)</f>
        <v>97.57</v>
      </c>
      <c r="H101" s="90"/>
    </row>
    <row r="102" spans="1:8">
      <c r="A102" s="33"/>
      <c r="B102" s="79"/>
      <c r="C102" s="33"/>
      <c r="D102" s="94"/>
      <c r="E102" s="33"/>
      <c r="F102" s="33"/>
      <c r="G102" s="33"/>
      <c r="H102" s="33"/>
    </row>
    <row r="103" spans="1:8">
      <c r="A103" s="86" t="s">
        <v>297</v>
      </c>
      <c r="B103" s="87"/>
      <c r="C103" s="86"/>
      <c r="D103" s="88"/>
      <c r="E103" s="86"/>
      <c r="F103" s="86"/>
      <c r="G103" s="86"/>
      <c r="H103" s="86"/>
    </row>
    <row r="104" spans="1:8">
      <c r="A104" s="75" t="s">
        <v>328</v>
      </c>
      <c r="B104" s="76"/>
      <c r="C104" s="75"/>
      <c r="D104" s="77"/>
      <c r="E104" s="75"/>
      <c r="F104" s="75"/>
      <c r="G104" s="75"/>
      <c r="H104" s="75"/>
    </row>
    <row r="105" ht="60" spans="1:8">
      <c r="A105" s="89" t="s">
        <v>267</v>
      </c>
      <c r="B105" s="89" t="s">
        <v>268</v>
      </c>
      <c r="C105" s="89" t="s">
        <v>269</v>
      </c>
      <c r="D105" s="89" t="s">
        <v>270</v>
      </c>
      <c r="E105" s="89" t="s">
        <v>271</v>
      </c>
      <c r="F105" s="89" t="s">
        <v>272</v>
      </c>
      <c r="G105" s="89" t="s">
        <v>273</v>
      </c>
      <c r="H105" s="89" t="s">
        <v>274</v>
      </c>
    </row>
    <row r="106" ht="60" spans="1:8">
      <c r="A106" s="79">
        <v>1</v>
      </c>
      <c r="B106" s="16" t="s">
        <v>275</v>
      </c>
      <c r="C106" s="83" t="s">
        <v>321</v>
      </c>
      <c r="D106" s="16" t="s">
        <v>277</v>
      </c>
      <c r="E106" s="81">
        <v>52.53</v>
      </c>
      <c r="F106" s="16">
        <v>4</v>
      </c>
      <c r="G106" s="82">
        <f>TRUNC(F106*E106,2)</f>
        <v>210.12</v>
      </c>
      <c r="H106" s="82">
        <f>TRUNC(G106/12,2)</f>
        <v>17.51</v>
      </c>
    </row>
    <row r="107" ht="60" spans="1:8">
      <c r="A107" s="79">
        <v>2</v>
      </c>
      <c r="B107" s="16" t="s">
        <v>280</v>
      </c>
      <c r="C107" s="83" t="s">
        <v>322</v>
      </c>
      <c r="D107" s="16" t="s">
        <v>277</v>
      </c>
      <c r="E107" s="81">
        <v>45.6</v>
      </c>
      <c r="F107" s="16">
        <v>4</v>
      </c>
      <c r="G107" s="82">
        <f t="shared" ref="G107:G120" si="12">TRUNC(F107*E107,2)</f>
        <v>182.4</v>
      </c>
      <c r="H107" s="82">
        <f t="shared" ref="H107:H120" si="13">TRUNC(G107/12,2)</f>
        <v>15.2</v>
      </c>
    </row>
    <row r="108" ht="60" spans="1:8">
      <c r="A108" s="79">
        <v>3</v>
      </c>
      <c r="B108" s="16" t="s">
        <v>280</v>
      </c>
      <c r="C108" s="85" t="s">
        <v>282</v>
      </c>
      <c r="D108" s="16" t="s">
        <v>277</v>
      </c>
      <c r="E108" s="81">
        <v>24.99</v>
      </c>
      <c r="F108" s="16">
        <v>4</v>
      </c>
      <c r="G108" s="82">
        <f t="shared" si="12"/>
        <v>99.96</v>
      </c>
      <c r="H108" s="82">
        <f t="shared" si="13"/>
        <v>8.33</v>
      </c>
    </row>
    <row r="109" ht="30" spans="1:8">
      <c r="A109" s="79">
        <v>4</v>
      </c>
      <c r="B109" s="84" t="s">
        <v>301</v>
      </c>
      <c r="C109" s="83" t="s">
        <v>302</v>
      </c>
      <c r="D109" s="16" t="s">
        <v>277</v>
      </c>
      <c r="E109" s="81">
        <v>11.23</v>
      </c>
      <c r="F109" s="16">
        <v>2</v>
      </c>
      <c r="G109" s="82">
        <f t="shared" si="12"/>
        <v>22.46</v>
      </c>
      <c r="H109" s="82">
        <f t="shared" si="13"/>
        <v>1.87</v>
      </c>
    </row>
    <row r="110" ht="90" spans="1:8">
      <c r="A110" s="79">
        <v>5</v>
      </c>
      <c r="B110" s="84" t="s">
        <v>295</v>
      </c>
      <c r="C110" s="83" t="s">
        <v>296</v>
      </c>
      <c r="D110" s="16" t="s">
        <v>285</v>
      </c>
      <c r="E110" s="81">
        <v>23.36</v>
      </c>
      <c r="F110" s="16">
        <v>2</v>
      </c>
      <c r="G110" s="82">
        <f t="shared" si="12"/>
        <v>46.72</v>
      </c>
      <c r="H110" s="82">
        <f t="shared" si="13"/>
        <v>3.89</v>
      </c>
    </row>
    <row r="111" ht="105" spans="1:8">
      <c r="A111" s="79">
        <v>6</v>
      </c>
      <c r="B111" s="16" t="s">
        <v>283</v>
      </c>
      <c r="C111" s="83" t="s">
        <v>303</v>
      </c>
      <c r="D111" s="16" t="s">
        <v>285</v>
      </c>
      <c r="E111" s="81">
        <v>55.76</v>
      </c>
      <c r="F111" s="16">
        <v>2</v>
      </c>
      <c r="G111" s="82">
        <f t="shared" si="12"/>
        <v>111.52</v>
      </c>
      <c r="H111" s="82">
        <f t="shared" si="13"/>
        <v>9.29</v>
      </c>
    </row>
    <row r="112" ht="45" spans="1:8">
      <c r="A112" s="79">
        <v>7</v>
      </c>
      <c r="B112" s="16" t="s">
        <v>286</v>
      </c>
      <c r="C112" s="83" t="s">
        <v>287</v>
      </c>
      <c r="D112" s="16" t="s">
        <v>285</v>
      </c>
      <c r="E112" s="81">
        <v>8.82</v>
      </c>
      <c r="F112" s="16">
        <v>4</v>
      </c>
      <c r="G112" s="82">
        <f t="shared" si="12"/>
        <v>35.28</v>
      </c>
      <c r="H112" s="82">
        <f t="shared" si="13"/>
        <v>2.94</v>
      </c>
    </row>
    <row r="113" ht="45" spans="1:8">
      <c r="A113" s="79">
        <v>8</v>
      </c>
      <c r="B113" s="16" t="s">
        <v>288</v>
      </c>
      <c r="C113" s="83" t="s">
        <v>289</v>
      </c>
      <c r="D113" s="16" t="s">
        <v>277</v>
      </c>
      <c r="E113" s="81">
        <v>5.8</v>
      </c>
      <c r="F113" s="16">
        <v>1</v>
      </c>
      <c r="G113" s="82">
        <f t="shared" si="12"/>
        <v>5.8</v>
      </c>
      <c r="H113" s="82">
        <f t="shared" si="13"/>
        <v>0.48</v>
      </c>
    </row>
    <row r="114" ht="60" spans="1:8">
      <c r="A114" s="79">
        <v>9</v>
      </c>
      <c r="B114" s="16" t="s">
        <v>304</v>
      </c>
      <c r="C114" s="83" t="s">
        <v>325</v>
      </c>
      <c r="D114" s="16" t="s">
        <v>277</v>
      </c>
      <c r="E114" s="81">
        <v>36.92</v>
      </c>
      <c r="F114" s="16">
        <v>1</v>
      </c>
      <c r="G114" s="82">
        <f t="shared" si="12"/>
        <v>36.92</v>
      </c>
      <c r="H114" s="82">
        <f t="shared" si="13"/>
        <v>3.07</v>
      </c>
    </row>
    <row r="115" ht="60" spans="1:8">
      <c r="A115" s="79">
        <v>10</v>
      </c>
      <c r="B115" s="16" t="s">
        <v>306</v>
      </c>
      <c r="C115" s="83" t="s">
        <v>307</v>
      </c>
      <c r="D115" s="16" t="s">
        <v>308</v>
      </c>
      <c r="E115" s="81">
        <v>222.4</v>
      </c>
      <c r="F115" s="16">
        <v>1</v>
      </c>
      <c r="G115" s="82">
        <f t="shared" si="12"/>
        <v>222.4</v>
      </c>
      <c r="H115" s="82">
        <f t="shared" si="13"/>
        <v>18.53</v>
      </c>
    </row>
    <row r="116" ht="60" spans="1:8">
      <c r="A116" s="79">
        <v>11</v>
      </c>
      <c r="B116" s="16" t="s">
        <v>309</v>
      </c>
      <c r="C116" s="83" t="s">
        <v>311</v>
      </c>
      <c r="D116" s="16" t="s">
        <v>285</v>
      </c>
      <c r="E116" s="81">
        <v>3.8</v>
      </c>
      <c r="F116" s="16">
        <v>6</v>
      </c>
      <c r="G116" s="82">
        <f t="shared" si="12"/>
        <v>22.8</v>
      </c>
      <c r="H116" s="82">
        <f t="shared" si="13"/>
        <v>1.9</v>
      </c>
    </row>
    <row r="117" ht="75" spans="1:8">
      <c r="A117" s="79">
        <v>12</v>
      </c>
      <c r="B117" s="16" t="s">
        <v>312</v>
      </c>
      <c r="C117" s="83" t="s">
        <v>313</v>
      </c>
      <c r="D117" s="16" t="s">
        <v>277</v>
      </c>
      <c r="E117" s="81">
        <v>7</v>
      </c>
      <c r="F117" s="16">
        <v>2</v>
      </c>
      <c r="G117" s="82">
        <f t="shared" si="12"/>
        <v>14</v>
      </c>
      <c r="H117" s="82">
        <f t="shared" si="13"/>
        <v>1.16</v>
      </c>
    </row>
    <row r="118" ht="45" spans="1:8">
      <c r="A118" s="79">
        <v>13</v>
      </c>
      <c r="B118" s="16" t="s">
        <v>314</v>
      </c>
      <c r="C118" s="83" t="s">
        <v>315</v>
      </c>
      <c r="D118" s="16" t="s">
        <v>277</v>
      </c>
      <c r="E118" s="81">
        <v>1.57</v>
      </c>
      <c r="F118" s="16">
        <v>4</v>
      </c>
      <c r="G118" s="82">
        <f t="shared" si="12"/>
        <v>6.28</v>
      </c>
      <c r="H118" s="82">
        <f t="shared" si="13"/>
        <v>0.52</v>
      </c>
    </row>
    <row r="119" ht="30" spans="1:8">
      <c r="A119" s="79">
        <v>14</v>
      </c>
      <c r="B119" s="16" t="s">
        <v>316</v>
      </c>
      <c r="C119" s="83" t="s">
        <v>317</v>
      </c>
      <c r="D119" s="16" t="s">
        <v>277</v>
      </c>
      <c r="E119" s="81">
        <v>28</v>
      </c>
      <c r="F119" s="16">
        <v>4</v>
      </c>
      <c r="G119" s="82">
        <f t="shared" si="12"/>
        <v>112</v>
      </c>
      <c r="H119" s="82">
        <f t="shared" si="13"/>
        <v>9.33</v>
      </c>
    </row>
    <row r="120" ht="105" spans="1:8">
      <c r="A120" s="79">
        <v>15</v>
      </c>
      <c r="B120" s="16" t="s">
        <v>318</v>
      </c>
      <c r="C120" s="83" t="s">
        <v>319</v>
      </c>
      <c r="D120" s="16" t="s">
        <v>277</v>
      </c>
      <c r="E120" s="81">
        <v>3.55</v>
      </c>
      <c r="F120" s="16">
        <v>12</v>
      </c>
      <c r="G120" s="82">
        <f t="shared" si="12"/>
        <v>42.6</v>
      </c>
      <c r="H120" s="82">
        <f t="shared" si="13"/>
        <v>3.55</v>
      </c>
    </row>
    <row r="121" spans="1:8">
      <c r="A121" s="11" t="s">
        <v>190</v>
      </c>
      <c r="B121" s="11"/>
      <c r="C121" s="11"/>
      <c r="D121" s="11"/>
      <c r="E121" s="11"/>
      <c r="F121" s="11"/>
      <c r="G121" s="90">
        <f>TRUNC(SUM(H106:H120),2)</f>
        <v>97.57</v>
      </c>
      <c r="H121" s="90"/>
    </row>
    <row r="122" spans="1:8">
      <c r="A122" s="33"/>
      <c r="B122" s="79"/>
      <c r="C122" s="33"/>
      <c r="D122" s="94"/>
      <c r="E122" s="33"/>
      <c r="F122" s="33"/>
      <c r="G122" s="33"/>
      <c r="H122" s="33"/>
    </row>
    <row r="123" spans="1:8">
      <c r="A123" s="33"/>
      <c r="B123" s="79"/>
      <c r="C123" s="33"/>
      <c r="D123" s="94"/>
      <c r="E123" s="33"/>
      <c r="F123" s="33"/>
      <c r="G123" s="33"/>
      <c r="H123" s="33"/>
    </row>
    <row r="124" spans="1:8">
      <c r="A124" s="86" t="s">
        <v>297</v>
      </c>
      <c r="B124" s="87"/>
      <c r="C124" s="86"/>
      <c r="D124" s="88"/>
      <c r="E124" s="86"/>
      <c r="F124" s="86"/>
      <c r="G124" s="86"/>
      <c r="H124" s="86"/>
    </row>
    <row r="125" spans="1:8">
      <c r="A125" s="75" t="s">
        <v>329</v>
      </c>
      <c r="B125" s="76"/>
      <c r="C125" s="75"/>
      <c r="D125" s="77"/>
      <c r="E125" s="75"/>
      <c r="F125" s="75"/>
      <c r="G125" s="75"/>
      <c r="H125" s="75"/>
    </row>
    <row r="126" ht="60" spans="1:8">
      <c r="A126" s="89" t="s">
        <v>267</v>
      </c>
      <c r="B126" s="89" t="s">
        <v>268</v>
      </c>
      <c r="C126" s="89" t="s">
        <v>269</v>
      </c>
      <c r="D126" s="89" t="s">
        <v>270</v>
      </c>
      <c r="E126" s="89" t="s">
        <v>271</v>
      </c>
      <c r="F126" s="89" t="s">
        <v>272</v>
      </c>
      <c r="G126" s="89" t="s">
        <v>273</v>
      </c>
      <c r="H126" s="89" t="s">
        <v>274</v>
      </c>
    </row>
    <row r="127" ht="60" spans="1:8">
      <c r="A127" s="79">
        <v>1</v>
      </c>
      <c r="B127" s="16" t="s">
        <v>275</v>
      </c>
      <c r="C127" s="83" t="s">
        <v>321</v>
      </c>
      <c r="D127" s="16" t="s">
        <v>277</v>
      </c>
      <c r="E127" s="81">
        <v>52.53</v>
      </c>
      <c r="F127" s="16">
        <v>4</v>
      </c>
      <c r="G127" s="82">
        <f>TRUNC(F127*E127,2)</f>
        <v>210.12</v>
      </c>
      <c r="H127" s="82">
        <f>TRUNC(G127/12,2)</f>
        <v>17.51</v>
      </c>
    </row>
    <row r="128" ht="60" spans="1:8">
      <c r="A128" s="79">
        <v>2</v>
      </c>
      <c r="B128" s="16" t="s">
        <v>280</v>
      </c>
      <c r="C128" s="83" t="s">
        <v>322</v>
      </c>
      <c r="D128" s="16" t="s">
        <v>277</v>
      </c>
      <c r="E128" s="81">
        <v>45.6</v>
      </c>
      <c r="F128" s="16">
        <v>4</v>
      </c>
      <c r="G128" s="82">
        <f t="shared" ref="G128:G139" si="14">TRUNC(F128*E128,2)</f>
        <v>182.4</v>
      </c>
      <c r="H128" s="82">
        <f t="shared" ref="H128:H139" si="15">TRUNC(G128/12,2)</f>
        <v>15.2</v>
      </c>
    </row>
    <row r="129" ht="60" spans="1:8">
      <c r="A129" s="79">
        <v>3</v>
      </c>
      <c r="B129" s="16" t="s">
        <v>280</v>
      </c>
      <c r="C129" s="85" t="s">
        <v>282</v>
      </c>
      <c r="D129" s="16" t="s">
        <v>277</v>
      </c>
      <c r="E129" s="81">
        <v>24.99</v>
      </c>
      <c r="F129" s="16">
        <v>4</v>
      </c>
      <c r="G129" s="82">
        <f t="shared" si="14"/>
        <v>99.96</v>
      </c>
      <c r="H129" s="82">
        <f t="shared" si="15"/>
        <v>8.33</v>
      </c>
    </row>
    <row r="130" ht="30" spans="1:8">
      <c r="A130" s="79">
        <v>4</v>
      </c>
      <c r="B130" s="84" t="s">
        <v>301</v>
      </c>
      <c r="C130" s="83" t="s">
        <v>302</v>
      </c>
      <c r="D130" s="16" t="s">
        <v>277</v>
      </c>
      <c r="E130" s="81">
        <v>11.23</v>
      </c>
      <c r="F130" s="16">
        <v>2</v>
      </c>
      <c r="G130" s="82">
        <f t="shared" si="14"/>
        <v>22.46</v>
      </c>
      <c r="H130" s="82">
        <f t="shared" si="15"/>
        <v>1.87</v>
      </c>
    </row>
    <row r="131" ht="90" spans="1:8">
      <c r="A131" s="79">
        <v>5</v>
      </c>
      <c r="B131" s="84" t="s">
        <v>295</v>
      </c>
      <c r="C131" s="83" t="s">
        <v>296</v>
      </c>
      <c r="D131" s="16" t="s">
        <v>285</v>
      </c>
      <c r="E131" s="81">
        <v>23.36</v>
      </c>
      <c r="F131" s="16">
        <v>2</v>
      </c>
      <c r="G131" s="82">
        <f t="shared" si="14"/>
        <v>46.72</v>
      </c>
      <c r="H131" s="82">
        <f t="shared" si="15"/>
        <v>3.89</v>
      </c>
    </row>
    <row r="132" ht="60" spans="1:8">
      <c r="A132" s="79">
        <v>6</v>
      </c>
      <c r="B132" s="16" t="s">
        <v>283</v>
      </c>
      <c r="C132" s="83" t="s">
        <v>327</v>
      </c>
      <c r="D132" s="16" t="s">
        <v>285</v>
      </c>
      <c r="E132" s="81">
        <v>55.76</v>
      </c>
      <c r="F132" s="16">
        <v>2</v>
      </c>
      <c r="G132" s="82">
        <f t="shared" si="14"/>
        <v>111.52</v>
      </c>
      <c r="H132" s="82">
        <f t="shared" si="15"/>
        <v>9.29</v>
      </c>
    </row>
    <row r="133" ht="105" spans="1:8">
      <c r="A133" s="79">
        <v>7</v>
      </c>
      <c r="B133" s="16" t="s">
        <v>283</v>
      </c>
      <c r="C133" s="83" t="s">
        <v>330</v>
      </c>
      <c r="D133" s="16" t="s">
        <v>285</v>
      </c>
      <c r="E133" s="81">
        <v>35.16</v>
      </c>
      <c r="F133" s="16">
        <v>1</v>
      </c>
      <c r="G133" s="82">
        <f t="shared" si="14"/>
        <v>35.16</v>
      </c>
      <c r="H133" s="82">
        <f t="shared" si="15"/>
        <v>2.93</v>
      </c>
    </row>
    <row r="134" ht="45" spans="1:8">
      <c r="A134" s="79">
        <v>8</v>
      </c>
      <c r="B134" s="16" t="s">
        <v>286</v>
      </c>
      <c r="C134" s="83" t="s">
        <v>287</v>
      </c>
      <c r="D134" s="16" t="s">
        <v>285</v>
      </c>
      <c r="E134" s="81">
        <v>8.82</v>
      </c>
      <c r="F134" s="16">
        <v>4</v>
      </c>
      <c r="G134" s="82">
        <f t="shared" si="14"/>
        <v>35.28</v>
      </c>
      <c r="H134" s="82">
        <f t="shared" si="15"/>
        <v>2.94</v>
      </c>
    </row>
    <row r="135" ht="45" spans="1:8">
      <c r="A135" s="79">
        <v>9</v>
      </c>
      <c r="B135" s="16" t="s">
        <v>288</v>
      </c>
      <c r="C135" s="83" t="s">
        <v>289</v>
      </c>
      <c r="D135" s="16" t="s">
        <v>277</v>
      </c>
      <c r="E135" s="81">
        <v>5.8</v>
      </c>
      <c r="F135" s="16">
        <v>1</v>
      </c>
      <c r="G135" s="82">
        <f t="shared" si="14"/>
        <v>5.8</v>
      </c>
      <c r="H135" s="82">
        <f t="shared" si="15"/>
        <v>0.48</v>
      </c>
    </row>
    <row r="136" ht="60" spans="1:8">
      <c r="A136" s="79">
        <v>10</v>
      </c>
      <c r="B136" s="16" t="s">
        <v>309</v>
      </c>
      <c r="C136" s="83" t="s">
        <v>311</v>
      </c>
      <c r="D136" s="16" t="s">
        <v>285</v>
      </c>
      <c r="E136" s="81">
        <v>3.8</v>
      </c>
      <c r="F136" s="16">
        <v>4</v>
      </c>
      <c r="G136" s="82">
        <f t="shared" si="14"/>
        <v>15.2</v>
      </c>
      <c r="H136" s="82">
        <f t="shared" si="15"/>
        <v>1.26</v>
      </c>
    </row>
    <row r="137" ht="75" spans="1:8">
      <c r="A137" s="79">
        <v>11</v>
      </c>
      <c r="B137" s="16" t="s">
        <v>312</v>
      </c>
      <c r="C137" s="83" t="s">
        <v>313</v>
      </c>
      <c r="D137" s="16" t="s">
        <v>277</v>
      </c>
      <c r="E137" s="81">
        <v>7</v>
      </c>
      <c r="F137" s="16">
        <v>2</v>
      </c>
      <c r="G137" s="82">
        <f t="shared" si="14"/>
        <v>14</v>
      </c>
      <c r="H137" s="82">
        <f t="shared" si="15"/>
        <v>1.16</v>
      </c>
    </row>
    <row r="138" ht="75" spans="1:8">
      <c r="A138" s="79">
        <v>12</v>
      </c>
      <c r="B138" s="16" t="s">
        <v>331</v>
      </c>
      <c r="C138" s="83" t="s">
        <v>332</v>
      </c>
      <c r="D138" s="16" t="s">
        <v>277</v>
      </c>
      <c r="E138" s="81">
        <v>20.23</v>
      </c>
      <c r="F138" s="16">
        <v>1</v>
      </c>
      <c r="G138" s="82">
        <f t="shared" si="14"/>
        <v>20.23</v>
      </c>
      <c r="H138" s="82">
        <f t="shared" si="15"/>
        <v>1.68</v>
      </c>
    </row>
    <row r="139" ht="30" spans="1:8">
      <c r="A139" s="79">
        <v>13</v>
      </c>
      <c r="B139" s="16" t="s">
        <v>316</v>
      </c>
      <c r="C139" s="83" t="s">
        <v>317</v>
      </c>
      <c r="D139" s="16" t="s">
        <v>277</v>
      </c>
      <c r="E139" s="81">
        <v>28</v>
      </c>
      <c r="F139" s="16">
        <v>4</v>
      </c>
      <c r="G139" s="82">
        <f t="shared" si="14"/>
        <v>112</v>
      </c>
      <c r="H139" s="82">
        <f t="shared" si="15"/>
        <v>9.33</v>
      </c>
    </row>
    <row r="140" spans="1:8">
      <c r="A140" s="11" t="s">
        <v>190</v>
      </c>
      <c r="B140" s="11"/>
      <c r="C140" s="11"/>
      <c r="D140" s="11"/>
      <c r="E140" s="11"/>
      <c r="F140" s="11"/>
      <c r="G140" s="90">
        <f>TRUNC(SUM(H127:H139),2)</f>
        <v>75.87</v>
      </c>
      <c r="H140" s="90"/>
    </row>
    <row r="141" spans="1:8">
      <c r="A141" s="33"/>
      <c r="B141" s="79"/>
      <c r="C141" s="33"/>
      <c r="D141" s="94"/>
      <c r="E141" s="33"/>
      <c r="F141" s="33"/>
      <c r="G141" s="33"/>
      <c r="H141" s="33"/>
    </row>
    <row r="142" spans="1:8">
      <c r="A142" s="33"/>
      <c r="B142" s="79"/>
      <c r="C142" s="33"/>
      <c r="D142" s="94"/>
      <c r="E142" s="33"/>
      <c r="F142" s="33"/>
      <c r="G142" s="33"/>
      <c r="H142" s="33"/>
    </row>
    <row r="143" spans="1:8">
      <c r="A143" s="33"/>
      <c r="B143" s="79"/>
      <c r="C143" s="33"/>
      <c r="D143" s="94"/>
      <c r="E143" s="33"/>
      <c r="F143" s="33"/>
      <c r="G143" s="33"/>
      <c r="H143" s="33"/>
    </row>
    <row r="144" spans="1:8">
      <c r="A144" s="33"/>
      <c r="B144" s="79"/>
      <c r="C144" s="33"/>
      <c r="D144" s="94"/>
      <c r="E144" s="33"/>
      <c r="F144" s="33"/>
      <c r="G144" s="33"/>
      <c r="H144" s="33"/>
    </row>
    <row r="145" spans="1:8">
      <c r="A145" s="33"/>
      <c r="B145" s="79"/>
      <c r="C145" s="33"/>
      <c r="D145" s="94"/>
      <c r="E145" s="33"/>
      <c r="F145" s="33"/>
      <c r="G145" s="33"/>
      <c r="H145" s="33"/>
    </row>
    <row r="146" spans="1:8">
      <c r="A146" s="95"/>
      <c r="B146" s="96"/>
      <c r="C146" s="95"/>
      <c r="D146" s="97"/>
      <c r="E146" s="95"/>
      <c r="F146" s="95"/>
      <c r="G146" s="95"/>
      <c r="H146" s="95"/>
    </row>
    <row r="147" spans="1:8">
      <c r="A147" s="95"/>
      <c r="B147" s="96"/>
      <c r="C147" s="95"/>
      <c r="D147" s="97"/>
      <c r="E147" s="95"/>
      <c r="F147" s="95"/>
      <c r="G147" s="95"/>
      <c r="H147" s="95"/>
    </row>
    <row r="148" spans="1:8">
      <c r="A148" s="95"/>
      <c r="B148" s="96"/>
      <c r="C148" s="95"/>
      <c r="D148" s="97"/>
      <c r="E148" s="95"/>
      <c r="F148" s="95"/>
      <c r="G148" s="95"/>
      <c r="H148" s="95"/>
    </row>
    <row r="149" spans="1:8">
      <c r="A149" s="95"/>
      <c r="B149" s="96"/>
      <c r="C149" s="95"/>
      <c r="D149" s="97"/>
      <c r="E149" s="95"/>
      <c r="F149" s="95"/>
      <c r="G149" s="95"/>
      <c r="H149" s="95"/>
    </row>
    <row r="150" spans="1:8">
      <c r="A150" s="95"/>
      <c r="B150" s="96"/>
      <c r="C150" s="95"/>
      <c r="D150" s="97"/>
      <c r="E150" s="95"/>
      <c r="F150" s="95"/>
      <c r="G150" s="95"/>
      <c r="H150" s="95"/>
    </row>
    <row r="151" spans="1:8">
      <c r="A151" s="95"/>
      <c r="B151" s="96"/>
      <c r="C151" s="95"/>
      <c r="D151" s="97"/>
      <c r="E151" s="95"/>
      <c r="F151" s="95"/>
      <c r="G151" s="95"/>
      <c r="H151" s="95"/>
    </row>
    <row r="152" spans="1:8">
      <c r="A152" s="95"/>
      <c r="B152" s="96"/>
      <c r="C152" s="95"/>
      <c r="D152" s="97"/>
      <c r="E152" s="95"/>
      <c r="F152" s="95"/>
      <c r="G152" s="95"/>
      <c r="H152" s="95"/>
    </row>
    <row r="153" spans="1:8">
      <c r="A153" s="95"/>
      <c r="B153" s="96"/>
      <c r="C153" s="95"/>
      <c r="D153" s="97"/>
      <c r="E153" s="95"/>
      <c r="F153" s="95"/>
      <c r="G153" s="95"/>
      <c r="H153" s="95"/>
    </row>
    <row r="154" spans="1:8">
      <c r="A154" s="95"/>
      <c r="B154" s="96"/>
      <c r="C154" s="95"/>
      <c r="D154" s="97"/>
      <c r="E154" s="95"/>
      <c r="F154" s="95"/>
      <c r="G154" s="95"/>
      <c r="H154" s="95"/>
    </row>
    <row r="155" spans="1:8">
      <c r="A155" s="95"/>
      <c r="B155" s="96"/>
      <c r="C155" s="95"/>
      <c r="D155" s="97"/>
      <c r="E155" s="95"/>
      <c r="F155" s="95"/>
      <c r="G155" s="95"/>
      <c r="H155" s="95"/>
    </row>
    <row r="156" spans="1:8">
      <c r="A156" s="95"/>
      <c r="B156" s="96"/>
      <c r="C156" s="95"/>
      <c r="D156" s="97"/>
      <c r="E156" s="95"/>
      <c r="F156" s="95"/>
      <c r="G156" s="95"/>
      <c r="H156" s="95"/>
    </row>
    <row r="157" spans="1:8">
      <c r="A157" s="95"/>
      <c r="B157" s="96"/>
      <c r="C157" s="95"/>
      <c r="D157" s="97"/>
      <c r="E157" s="95"/>
      <c r="F157" s="95"/>
      <c r="G157" s="95"/>
      <c r="H157" s="95"/>
    </row>
    <row r="158" spans="1:8">
      <c r="A158" s="95"/>
      <c r="B158" s="96"/>
      <c r="C158" s="95"/>
      <c r="D158" s="97"/>
      <c r="E158" s="95"/>
      <c r="F158" s="95"/>
      <c r="G158" s="95"/>
      <c r="H158" s="95"/>
    </row>
  </sheetData>
  <mergeCells count="32">
    <mergeCell ref="A1:H1"/>
    <mergeCell ref="A2:H2"/>
    <mergeCell ref="A11:F11"/>
    <mergeCell ref="G11:H11"/>
    <mergeCell ref="A14:H14"/>
    <mergeCell ref="A15:H15"/>
    <mergeCell ref="A24:F24"/>
    <mergeCell ref="G24:H24"/>
    <mergeCell ref="A26:H26"/>
    <mergeCell ref="A27:H27"/>
    <mergeCell ref="A36:F36"/>
    <mergeCell ref="G36:H36"/>
    <mergeCell ref="A39:H39"/>
    <mergeCell ref="A40:H40"/>
    <mergeCell ref="A58:F58"/>
    <mergeCell ref="G58:H58"/>
    <mergeCell ref="A61:H61"/>
    <mergeCell ref="A62:H62"/>
    <mergeCell ref="A80:F80"/>
    <mergeCell ref="G80:H80"/>
    <mergeCell ref="A83:H83"/>
    <mergeCell ref="A84:H84"/>
    <mergeCell ref="A101:F101"/>
    <mergeCell ref="G101:H101"/>
    <mergeCell ref="A103:H103"/>
    <mergeCell ref="A104:H104"/>
    <mergeCell ref="A121:F121"/>
    <mergeCell ref="G121:H121"/>
    <mergeCell ref="A124:H124"/>
    <mergeCell ref="A125:H125"/>
    <mergeCell ref="A140:F140"/>
    <mergeCell ref="G140:H140"/>
  </mergeCells>
  <pageMargins left="0.75" right="0.75" top="1" bottom="1" header="0.5" footer="0.5"/>
  <pageSetup paperSize="9" orientation="portrait"/>
  <headerFooter/>
  <tableParts count="3">
    <tablePart r:id="rId1"/>
    <tablePart r:id="rId2"/>
    <tablePart r:id="rId3"/>
  </tableParts>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135"/>
  <sheetViews>
    <sheetView topLeftCell="A93" workbookViewId="0">
      <selection activeCell="E93" sqref="E93:F93"/>
    </sheetView>
  </sheetViews>
  <sheetFormatPr defaultColWidth="8.88571428571429" defaultRowHeight="15" outlineLevelCol="6"/>
  <cols>
    <col min="2" max="2" width="31.1428571428571" customWidth="1"/>
    <col min="3" max="3" width="29.8571428571429" customWidth="1"/>
    <col min="4" max="4" width="15.5714285714286" customWidth="1"/>
    <col min="5" max="5" width="16.4285714285714" customWidth="1"/>
    <col min="6" max="6" width="18.2857142857143" customWidth="1"/>
    <col min="7" max="7" width="13.7142857142857" customWidth="1"/>
  </cols>
  <sheetData>
    <row r="1" spans="1:7">
      <c r="A1" s="22" t="s">
        <v>333</v>
      </c>
      <c r="B1" s="22"/>
      <c r="C1" s="22" t="s">
        <v>142</v>
      </c>
      <c r="D1" s="23"/>
      <c r="E1" s="22"/>
      <c r="F1" s="22"/>
      <c r="G1" s="22"/>
    </row>
    <row r="2" ht="60" spans="1:7">
      <c r="A2" s="4" t="s">
        <v>2</v>
      </c>
      <c r="B2" s="4" t="s">
        <v>334</v>
      </c>
      <c r="C2" s="4" t="s">
        <v>3</v>
      </c>
      <c r="D2" s="24" t="s">
        <v>335</v>
      </c>
      <c r="E2" s="4" t="s">
        <v>336</v>
      </c>
      <c r="F2" s="4" t="s">
        <v>337</v>
      </c>
      <c r="G2" s="4" t="s">
        <v>338</v>
      </c>
    </row>
    <row r="3" ht="60" spans="1:7">
      <c r="A3" s="24">
        <v>1</v>
      </c>
      <c r="B3" s="24" t="s">
        <v>339</v>
      </c>
      <c r="C3" s="25" t="s">
        <v>340</v>
      </c>
      <c r="D3" s="26">
        <v>64.34</v>
      </c>
      <c r="E3" s="27">
        <v>2</v>
      </c>
      <c r="F3" s="28">
        <f>Table43_2[[#This Row],[Quantidade Anual]]*Table43_2[[#This Row],[Valor Médio Unitário (R$)]]/2</f>
        <v>64.34</v>
      </c>
      <c r="G3" s="28">
        <f>Table43_2[[#This Row],[Valor Anual/ Empregado (R$)]]/12</f>
        <v>5.36166666666667</v>
      </c>
    </row>
    <row r="4" ht="90" spans="1:7">
      <c r="A4" s="24">
        <v>2</v>
      </c>
      <c r="B4" s="24" t="s">
        <v>341</v>
      </c>
      <c r="C4" s="25" t="s">
        <v>342</v>
      </c>
      <c r="D4" s="29">
        <v>1.44</v>
      </c>
      <c r="E4" s="27">
        <v>5</v>
      </c>
      <c r="F4" s="28">
        <f>Table43_2[[#This Row],[Quantidade Anual]]*Table43_2[[#This Row],[Valor Médio Unitário (R$)]]/2</f>
        <v>3.6</v>
      </c>
      <c r="G4" s="28">
        <f>Table43_2[[#This Row],[Valor Anual/ Empregado (R$)]]/12</f>
        <v>0.3</v>
      </c>
    </row>
    <row r="5" ht="60" spans="1:7">
      <c r="A5" s="24">
        <v>3</v>
      </c>
      <c r="B5" s="30" t="s">
        <v>343</v>
      </c>
      <c r="C5" s="25" t="s">
        <v>344</v>
      </c>
      <c r="D5" s="29">
        <v>43.9</v>
      </c>
      <c r="E5" s="27">
        <v>2</v>
      </c>
      <c r="F5" s="28">
        <f>Table43_2[[#This Row],[Quantidade Anual]]*Table43_2[[#This Row],[Valor Médio Unitário (R$)]]/2</f>
        <v>43.9</v>
      </c>
      <c r="G5" s="28">
        <f>Table43_2[[#This Row],[Valor Anual/ Empregado (R$)]]/12</f>
        <v>3.65833333333333</v>
      </c>
    </row>
    <row r="6" spans="1:7">
      <c r="A6" s="5" t="s">
        <v>44</v>
      </c>
      <c r="B6" s="5"/>
      <c r="C6" s="5"/>
      <c r="D6" s="31"/>
      <c r="E6" s="5"/>
      <c r="F6" s="5"/>
      <c r="G6" s="32">
        <f>SUBTOTAL(109,Table43_2[Valor Mensal/ Empregado])</f>
        <v>9.32</v>
      </c>
    </row>
    <row r="7" spans="4:4">
      <c r="D7" s="33"/>
    </row>
    <row r="9" spans="1:6">
      <c r="A9" s="34" t="s">
        <v>345</v>
      </c>
      <c r="B9" s="34"/>
      <c r="C9" s="34"/>
      <c r="D9" s="34"/>
      <c r="E9" s="34"/>
      <c r="F9" s="34"/>
    </row>
    <row r="10" ht="30" spans="1:6">
      <c r="A10" s="35" t="s">
        <v>267</v>
      </c>
      <c r="B10" s="35" t="s">
        <v>269</v>
      </c>
      <c r="C10" s="35" t="s">
        <v>270</v>
      </c>
      <c r="D10" s="36" t="s">
        <v>346</v>
      </c>
      <c r="E10" s="35" t="s">
        <v>246</v>
      </c>
      <c r="F10" s="35" t="s">
        <v>347</v>
      </c>
    </row>
    <row r="11" spans="1:6">
      <c r="A11" s="37">
        <v>1</v>
      </c>
      <c r="B11" s="38" t="s">
        <v>348</v>
      </c>
      <c r="C11" s="37" t="s">
        <v>349</v>
      </c>
      <c r="D11" s="39">
        <v>1</v>
      </c>
      <c r="E11" s="40">
        <v>28.4</v>
      </c>
      <c r="F11" s="41">
        <f t="shared" ref="F11:F74" si="0">TRUNC(E11*D11,2)</f>
        <v>28.4</v>
      </c>
    </row>
    <row r="12" spans="1:6">
      <c r="A12" s="37">
        <v>2</v>
      </c>
      <c r="B12" s="38" t="s">
        <v>350</v>
      </c>
      <c r="C12" s="37" t="s">
        <v>349</v>
      </c>
      <c r="D12" s="39">
        <v>1</v>
      </c>
      <c r="E12" s="40">
        <v>51.65</v>
      </c>
      <c r="F12" s="41">
        <f t="shared" si="0"/>
        <v>51.65</v>
      </c>
    </row>
    <row r="13" spans="1:6">
      <c r="A13" s="37">
        <v>3</v>
      </c>
      <c r="B13" s="38" t="s">
        <v>351</v>
      </c>
      <c r="C13" s="37" t="s">
        <v>349</v>
      </c>
      <c r="D13" s="39">
        <v>1</v>
      </c>
      <c r="E13" s="40">
        <v>35.19</v>
      </c>
      <c r="F13" s="41">
        <f t="shared" si="0"/>
        <v>35.19</v>
      </c>
    </row>
    <row r="14" spans="1:6">
      <c r="A14" s="37">
        <v>4</v>
      </c>
      <c r="B14" s="38" t="s">
        <v>352</v>
      </c>
      <c r="C14" s="37" t="s">
        <v>349</v>
      </c>
      <c r="D14" s="39">
        <v>1</v>
      </c>
      <c r="E14" s="40">
        <v>60.75</v>
      </c>
      <c r="F14" s="41">
        <f t="shared" si="0"/>
        <v>60.75</v>
      </c>
    </row>
    <row r="15" spans="1:6">
      <c r="A15" s="37">
        <v>5</v>
      </c>
      <c r="B15" s="38" t="s">
        <v>353</v>
      </c>
      <c r="C15" s="37" t="s">
        <v>349</v>
      </c>
      <c r="D15" s="39">
        <v>1</v>
      </c>
      <c r="E15" s="40">
        <v>14</v>
      </c>
      <c r="F15" s="41">
        <f t="shared" si="0"/>
        <v>14</v>
      </c>
    </row>
    <row r="16" spans="1:6">
      <c r="A16" s="37">
        <v>6</v>
      </c>
      <c r="B16" s="38" t="s">
        <v>354</v>
      </c>
      <c r="C16" s="37" t="s">
        <v>349</v>
      </c>
      <c r="D16" s="39">
        <v>1</v>
      </c>
      <c r="E16" s="40">
        <v>11.38</v>
      </c>
      <c r="F16" s="41">
        <f t="shared" si="0"/>
        <v>11.38</v>
      </c>
    </row>
    <row r="17" spans="1:6">
      <c r="A17" s="37">
        <v>7</v>
      </c>
      <c r="B17" s="38" t="s">
        <v>355</v>
      </c>
      <c r="C17" s="37" t="s">
        <v>349</v>
      </c>
      <c r="D17" s="39">
        <v>1</v>
      </c>
      <c r="E17" s="40">
        <v>12.87</v>
      </c>
      <c r="F17" s="41">
        <f t="shared" si="0"/>
        <v>12.87</v>
      </c>
    </row>
    <row r="18" spans="1:6">
      <c r="A18" s="37">
        <v>8</v>
      </c>
      <c r="B18" s="38" t="s">
        <v>356</v>
      </c>
      <c r="C18" s="37" t="s">
        <v>349</v>
      </c>
      <c r="D18" s="39">
        <v>1</v>
      </c>
      <c r="E18" s="40">
        <v>27.23</v>
      </c>
      <c r="F18" s="41">
        <f t="shared" si="0"/>
        <v>27.23</v>
      </c>
    </row>
    <row r="19" spans="1:6">
      <c r="A19" s="37">
        <v>9</v>
      </c>
      <c r="B19" s="38" t="s">
        <v>357</v>
      </c>
      <c r="C19" s="37" t="s">
        <v>349</v>
      </c>
      <c r="D19" s="39">
        <v>1</v>
      </c>
      <c r="E19" s="40">
        <v>9.61</v>
      </c>
      <c r="F19" s="41">
        <f t="shared" si="0"/>
        <v>9.61</v>
      </c>
    </row>
    <row r="20" spans="1:6">
      <c r="A20" s="37">
        <v>10</v>
      </c>
      <c r="B20" s="38" t="s">
        <v>358</v>
      </c>
      <c r="C20" s="37" t="s">
        <v>349</v>
      </c>
      <c r="D20" s="39">
        <v>1</v>
      </c>
      <c r="E20" s="40">
        <v>9.71</v>
      </c>
      <c r="F20" s="41">
        <f t="shared" si="0"/>
        <v>9.71</v>
      </c>
    </row>
    <row r="21" spans="1:6">
      <c r="A21" s="37">
        <v>11</v>
      </c>
      <c r="B21" s="38" t="s">
        <v>359</v>
      </c>
      <c r="C21" s="37" t="s">
        <v>349</v>
      </c>
      <c r="D21" s="39">
        <v>1</v>
      </c>
      <c r="E21" s="40">
        <v>35.31</v>
      </c>
      <c r="F21" s="41">
        <f t="shared" si="0"/>
        <v>35.31</v>
      </c>
    </row>
    <row r="22" spans="1:6">
      <c r="A22" s="37">
        <v>12</v>
      </c>
      <c r="B22" s="38" t="s">
        <v>360</v>
      </c>
      <c r="C22" s="37" t="s">
        <v>349</v>
      </c>
      <c r="D22" s="39">
        <v>1</v>
      </c>
      <c r="E22" s="40">
        <v>13</v>
      </c>
      <c r="F22" s="41">
        <f t="shared" si="0"/>
        <v>13</v>
      </c>
    </row>
    <row r="23" ht="28.5" spans="1:6">
      <c r="A23" s="37">
        <v>13</v>
      </c>
      <c r="B23" s="38" t="s">
        <v>361</v>
      </c>
      <c r="C23" s="37" t="s">
        <v>349</v>
      </c>
      <c r="D23" s="39">
        <v>1</v>
      </c>
      <c r="E23" s="40">
        <v>98</v>
      </c>
      <c r="F23" s="41">
        <f t="shared" si="0"/>
        <v>98</v>
      </c>
    </row>
    <row r="24" ht="28.5" spans="1:6">
      <c r="A24" s="37">
        <v>14</v>
      </c>
      <c r="B24" s="38" t="s">
        <v>362</v>
      </c>
      <c r="C24" s="37" t="s">
        <v>349</v>
      </c>
      <c r="D24" s="39">
        <v>1</v>
      </c>
      <c r="E24" s="40">
        <v>150</v>
      </c>
      <c r="F24" s="41">
        <f t="shared" si="0"/>
        <v>150</v>
      </c>
    </row>
    <row r="25" ht="28.5" spans="1:6">
      <c r="A25" s="37">
        <v>15</v>
      </c>
      <c r="B25" s="38" t="s">
        <v>363</v>
      </c>
      <c r="C25" s="37" t="s">
        <v>349</v>
      </c>
      <c r="D25" s="39">
        <v>1</v>
      </c>
      <c r="E25" s="40">
        <v>39.83</v>
      </c>
      <c r="F25" s="41">
        <f t="shared" si="0"/>
        <v>39.83</v>
      </c>
    </row>
    <row r="26" ht="28.5" spans="1:6">
      <c r="A26" s="37">
        <v>16</v>
      </c>
      <c r="B26" s="38" t="s">
        <v>364</v>
      </c>
      <c r="C26" s="37" t="s">
        <v>349</v>
      </c>
      <c r="D26" s="39">
        <v>1</v>
      </c>
      <c r="E26" s="40">
        <v>92.6</v>
      </c>
      <c r="F26" s="41">
        <f t="shared" si="0"/>
        <v>92.6</v>
      </c>
    </row>
    <row r="27" spans="1:6">
      <c r="A27" s="37">
        <v>17</v>
      </c>
      <c r="B27" s="38" t="s">
        <v>365</v>
      </c>
      <c r="C27" s="37" t="s">
        <v>349</v>
      </c>
      <c r="D27" s="39">
        <v>3</v>
      </c>
      <c r="E27" s="40">
        <v>5.7</v>
      </c>
      <c r="F27" s="41">
        <f t="shared" si="0"/>
        <v>17.1</v>
      </c>
    </row>
    <row r="28" spans="1:6">
      <c r="A28" s="37">
        <v>18</v>
      </c>
      <c r="B28" s="38" t="s">
        <v>366</v>
      </c>
      <c r="C28" s="37" t="s">
        <v>349</v>
      </c>
      <c r="D28" s="39">
        <v>1</v>
      </c>
      <c r="E28" s="40">
        <v>18.02</v>
      </c>
      <c r="F28" s="41">
        <f t="shared" si="0"/>
        <v>18.02</v>
      </c>
    </row>
    <row r="29" spans="1:6">
      <c r="A29" s="37">
        <v>19</v>
      </c>
      <c r="B29" s="38" t="s">
        <v>367</v>
      </c>
      <c r="C29" s="37" t="s">
        <v>349</v>
      </c>
      <c r="D29" s="39">
        <v>1</v>
      </c>
      <c r="E29" s="40">
        <v>41.23</v>
      </c>
      <c r="F29" s="41">
        <f t="shared" si="0"/>
        <v>41.23</v>
      </c>
    </row>
    <row r="30" spans="1:6">
      <c r="A30" s="37">
        <v>20</v>
      </c>
      <c r="B30" s="38" t="s">
        <v>368</v>
      </c>
      <c r="C30" s="37" t="s">
        <v>349</v>
      </c>
      <c r="D30" s="39">
        <v>1</v>
      </c>
      <c r="E30" s="40">
        <v>51.93</v>
      </c>
      <c r="F30" s="41">
        <f t="shared" si="0"/>
        <v>51.93</v>
      </c>
    </row>
    <row r="31" spans="1:6">
      <c r="A31" s="37">
        <v>21</v>
      </c>
      <c r="B31" s="38" t="s">
        <v>369</v>
      </c>
      <c r="C31" s="37" t="s">
        <v>349</v>
      </c>
      <c r="D31" s="39">
        <v>1</v>
      </c>
      <c r="E31" s="40">
        <v>34.25</v>
      </c>
      <c r="F31" s="41">
        <f t="shared" si="0"/>
        <v>34.25</v>
      </c>
    </row>
    <row r="32" spans="1:6">
      <c r="A32" s="37">
        <v>22</v>
      </c>
      <c r="B32" s="38" t="s">
        <v>370</v>
      </c>
      <c r="C32" s="37" t="s">
        <v>349</v>
      </c>
      <c r="D32" s="39">
        <v>1</v>
      </c>
      <c r="E32" s="40">
        <v>19.19</v>
      </c>
      <c r="F32" s="41">
        <f t="shared" si="0"/>
        <v>19.19</v>
      </c>
    </row>
    <row r="33" spans="1:6">
      <c r="A33" s="37">
        <v>23</v>
      </c>
      <c r="B33" s="38" t="s">
        <v>371</v>
      </c>
      <c r="C33" s="37" t="s">
        <v>349</v>
      </c>
      <c r="D33" s="39">
        <v>1</v>
      </c>
      <c r="E33" s="40">
        <v>27.99</v>
      </c>
      <c r="F33" s="41">
        <f t="shared" si="0"/>
        <v>27.99</v>
      </c>
    </row>
    <row r="34" spans="1:6">
      <c r="A34" s="37">
        <v>24</v>
      </c>
      <c r="B34" s="38" t="s">
        <v>372</v>
      </c>
      <c r="C34" s="37" t="s">
        <v>349</v>
      </c>
      <c r="D34" s="39">
        <v>1</v>
      </c>
      <c r="E34" s="40">
        <v>10.28</v>
      </c>
      <c r="F34" s="41">
        <f t="shared" si="0"/>
        <v>10.28</v>
      </c>
    </row>
    <row r="35" spans="1:6">
      <c r="A35" s="37">
        <v>25</v>
      </c>
      <c r="B35" s="38" t="s">
        <v>373</v>
      </c>
      <c r="C35" s="37" t="s">
        <v>349</v>
      </c>
      <c r="D35" s="39">
        <v>1</v>
      </c>
      <c r="E35" s="40">
        <v>14.3</v>
      </c>
      <c r="F35" s="41">
        <f t="shared" si="0"/>
        <v>14.3</v>
      </c>
    </row>
    <row r="36" spans="1:6">
      <c r="A36" s="37">
        <v>26</v>
      </c>
      <c r="B36" s="38" t="s">
        <v>374</v>
      </c>
      <c r="C36" s="37" t="s">
        <v>349</v>
      </c>
      <c r="D36" s="39">
        <v>1</v>
      </c>
      <c r="E36" s="40">
        <v>58.65</v>
      </c>
      <c r="F36" s="41">
        <f t="shared" si="0"/>
        <v>58.65</v>
      </c>
    </row>
    <row r="37" spans="1:6">
      <c r="A37" s="37">
        <v>27</v>
      </c>
      <c r="B37" s="38" t="s">
        <v>375</v>
      </c>
      <c r="C37" s="37" t="s">
        <v>349</v>
      </c>
      <c r="D37" s="39">
        <v>1</v>
      </c>
      <c r="E37" s="40">
        <v>31.28</v>
      </c>
      <c r="F37" s="41">
        <f t="shared" si="0"/>
        <v>31.28</v>
      </c>
    </row>
    <row r="38" spans="1:6">
      <c r="A38" s="37">
        <v>28</v>
      </c>
      <c r="B38" s="38" t="s">
        <v>376</v>
      </c>
      <c r="C38" s="37" t="s">
        <v>349</v>
      </c>
      <c r="D38" s="39">
        <v>1</v>
      </c>
      <c r="E38" s="40">
        <v>24</v>
      </c>
      <c r="F38" s="41">
        <f t="shared" si="0"/>
        <v>24</v>
      </c>
    </row>
    <row r="39" spans="1:6">
      <c r="A39" s="37">
        <v>29</v>
      </c>
      <c r="B39" s="38" t="s">
        <v>377</v>
      </c>
      <c r="C39" s="37" t="s">
        <v>349</v>
      </c>
      <c r="D39" s="39">
        <v>1</v>
      </c>
      <c r="E39" s="40">
        <v>52.19</v>
      </c>
      <c r="F39" s="41">
        <f t="shared" si="0"/>
        <v>52.19</v>
      </c>
    </row>
    <row r="40" spans="1:6">
      <c r="A40" s="37">
        <v>30</v>
      </c>
      <c r="B40" s="38" t="s">
        <v>378</v>
      </c>
      <c r="C40" s="37" t="s">
        <v>349</v>
      </c>
      <c r="D40" s="39">
        <v>1</v>
      </c>
      <c r="E40" s="40">
        <v>33.39</v>
      </c>
      <c r="F40" s="41">
        <f t="shared" si="0"/>
        <v>33.39</v>
      </c>
    </row>
    <row r="41" spans="1:6">
      <c r="A41" s="37">
        <v>31</v>
      </c>
      <c r="B41" s="38" t="s">
        <v>379</v>
      </c>
      <c r="C41" s="37" t="s">
        <v>349</v>
      </c>
      <c r="D41" s="39">
        <v>1</v>
      </c>
      <c r="E41" s="40">
        <v>53.87</v>
      </c>
      <c r="F41" s="41">
        <f t="shared" si="0"/>
        <v>53.87</v>
      </c>
    </row>
    <row r="42" spans="1:6">
      <c r="A42" s="37">
        <v>32</v>
      </c>
      <c r="B42" s="38" t="s">
        <v>380</v>
      </c>
      <c r="C42" s="37" t="s">
        <v>349</v>
      </c>
      <c r="D42" s="39">
        <v>1</v>
      </c>
      <c r="E42" s="40">
        <v>22.58</v>
      </c>
      <c r="F42" s="41">
        <f t="shared" si="0"/>
        <v>22.58</v>
      </c>
    </row>
    <row r="43" ht="28.5" spans="1:6">
      <c r="A43" s="37">
        <v>33</v>
      </c>
      <c r="B43" s="38" t="s">
        <v>381</v>
      </c>
      <c r="C43" s="37" t="s">
        <v>349</v>
      </c>
      <c r="D43" s="39">
        <v>1</v>
      </c>
      <c r="E43" s="40">
        <v>17.56</v>
      </c>
      <c r="F43" s="41">
        <f t="shared" si="0"/>
        <v>17.56</v>
      </c>
    </row>
    <row r="44" spans="1:6">
      <c r="A44" s="37">
        <v>34</v>
      </c>
      <c r="B44" s="38" t="s">
        <v>382</v>
      </c>
      <c r="C44" s="37" t="s">
        <v>349</v>
      </c>
      <c r="D44" s="39">
        <v>1</v>
      </c>
      <c r="E44" s="40">
        <v>40</v>
      </c>
      <c r="F44" s="41">
        <f t="shared" si="0"/>
        <v>40</v>
      </c>
    </row>
    <row r="45" spans="1:6">
      <c r="A45" s="37">
        <v>35</v>
      </c>
      <c r="B45" s="38" t="s">
        <v>383</v>
      </c>
      <c r="C45" s="37" t="s">
        <v>349</v>
      </c>
      <c r="D45" s="39">
        <v>1</v>
      </c>
      <c r="E45" s="40">
        <v>25.55</v>
      </c>
      <c r="F45" s="41">
        <f t="shared" si="0"/>
        <v>25.55</v>
      </c>
    </row>
    <row r="46" spans="1:6">
      <c r="A46" s="37">
        <v>36</v>
      </c>
      <c r="B46" s="38" t="s">
        <v>384</v>
      </c>
      <c r="C46" s="37" t="s">
        <v>349</v>
      </c>
      <c r="D46" s="39">
        <v>1</v>
      </c>
      <c r="E46" s="40">
        <v>39.34</v>
      </c>
      <c r="F46" s="41">
        <f t="shared" si="0"/>
        <v>39.34</v>
      </c>
    </row>
    <row r="47" spans="1:6">
      <c r="A47" s="37">
        <v>37</v>
      </c>
      <c r="B47" s="38" t="s">
        <v>385</v>
      </c>
      <c r="C47" s="37" t="s">
        <v>349</v>
      </c>
      <c r="D47" s="39">
        <v>2</v>
      </c>
      <c r="E47" s="40">
        <v>13.75</v>
      </c>
      <c r="F47" s="41">
        <f t="shared" si="0"/>
        <v>27.5</v>
      </c>
    </row>
    <row r="48" spans="1:6">
      <c r="A48" s="37">
        <v>38</v>
      </c>
      <c r="B48" s="38" t="s">
        <v>386</v>
      </c>
      <c r="C48" s="37" t="s">
        <v>349</v>
      </c>
      <c r="D48" s="39">
        <v>1</v>
      </c>
      <c r="E48" s="40">
        <v>20.17</v>
      </c>
      <c r="F48" s="41">
        <f t="shared" si="0"/>
        <v>20.17</v>
      </c>
    </row>
    <row r="49" spans="1:6">
      <c r="A49" s="37">
        <v>39</v>
      </c>
      <c r="B49" s="38" t="s">
        <v>387</v>
      </c>
      <c r="C49" s="37" t="s">
        <v>349</v>
      </c>
      <c r="D49" s="39">
        <v>1</v>
      </c>
      <c r="E49" s="40">
        <v>30.26</v>
      </c>
      <c r="F49" s="41">
        <f t="shared" si="0"/>
        <v>30.26</v>
      </c>
    </row>
    <row r="50" spans="1:6">
      <c r="A50" s="37">
        <v>40</v>
      </c>
      <c r="B50" s="38" t="s">
        <v>388</v>
      </c>
      <c r="C50" s="37" t="s">
        <v>349</v>
      </c>
      <c r="D50" s="39">
        <v>1</v>
      </c>
      <c r="E50" s="40">
        <v>21.32</v>
      </c>
      <c r="F50" s="41">
        <f t="shared" si="0"/>
        <v>21.32</v>
      </c>
    </row>
    <row r="51" spans="1:6">
      <c r="A51" s="37">
        <v>41</v>
      </c>
      <c r="B51" s="38" t="s">
        <v>389</v>
      </c>
      <c r="C51" s="37" t="s">
        <v>349</v>
      </c>
      <c r="D51" s="39">
        <v>1</v>
      </c>
      <c r="E51" s="40">
        <v>9.31</v>
      </c>
      <c r="F51" s="41">
        <f t="shared" si="0"/>
        <v>9.31</v>
      </c>
    </row>
    <row r="52" spans="1:6">
      <c r="A52" s="37">
        <v>42</v>
      </c>
      <c r="B52" s="38" t="s">
        <v>390</v>
      </c>
      <c r="C52" s="37" t="s">
        <v>349</v>
      </c>
      <c r="D52" s="39">
        <v>1</v>
      </c>
      <c r="E52" s="40">
        <v>11.47</v>
      </c>
      <c r="F52" s="41">
        <f t="shared" si="0"/>
        <v>11.47</v>
      </c>
    </row>
    <row r="53" spans="1:6">
      <c r="A53" s="37">
        <v>43</v>
      </c>
      <c r="B53" s="38" t="s">
        <v>391</v>
      </c>
      <c r="C53" s="37" t="s">
        <v>349</v>
      </c>
      <c r="D53" s="39">
        <v>1</v>
      </c>
      <c r="E53" s="40">
        <v>9.12</v>
      </c>
      <c r="F53" s="41">
        <f t="shared" si="0"/>
        <v>9.12</v>
      </c>
    </row>
    <row r="54" spans="1:6">
      <c r="A54" s="37">
        <v>44</v>
      </c>
      <c r="B54" s="38" t="s">
        <v>392</v>
      </c>
      <c r="C54" s="37" t="s">
        <v>349</v>
      </c>
      <c r="D54" s="39">
        <v>1</v>
      </c>
      <c r="E54" s="40">
        <v>31.96</v>
      </c>
      <c r="F54" s="41">
        <f t="shared" si="0"/>
        <v>31.96</v>
      </c>
    </row>
    <row r="55" spans="1:6">
      <c r="A55" s="37">
        <v>45</v>
      </c>
      <c r="B55" s="38" t="s">
        <v>393</v>
      </c>
      <c r="C55" s="37" t="s">
        <v>349</v>
      </c>
      <c r="D55" s="39">
        <v>1</v>
      </c>
      <c r="E55" s="40">
        <v>17.48</v>
      </c>
      <c r="F55" s="41">
        <f t="shared" si="0"/>
        <v>17.48</v>
      </c>
    </row>
    <row r="56" spans="1:6">
      <c r="A56" s="37">
        <v>46</v>
      </c>
      <c r="B56" s="38" t="s">
        <v>394</v>
      </c>
      <c r="C56" s="37" t="s">
        <v>349</v>
      </c>
      <c r="D56" s="39">
        <v>1</v>
      </c>
      <c r="E56" s="40">
        <v>67.59</v>
      </c>
      <c r="F56" s="41">
        <f t="shared" si="0"/>
        <v>67.59</v>
      </c>
    </row>
    <row r="57" spans="1:6">
      <c r="A57" s="37">
        <v>47</v>
      </c>
      <c r="B57" s="38" t="s">
        <v>395</v>
      </c>
      <c r="C57" s="37" t="s">
        <v>349</v>
      </c>
      <c r="D57" s="39">
        <v>1</v>
      </c>
      <c r="E57" s="40">
        <v>36</v>
      </c>
      <c r="F57" s="41">
        <f t="shared" si="0"/>
        <v>36</v>
      </c>
    </row>
    <row r="58" ht="28.5" spans="1:6">
      <c r="A58" s="37">
        <v>48</v>
      </c>
      <c r="B58" s="38" t="s">
        <v>396</v>
      </c>
      <c r="C58" s="37" t="s">
        <v>349</v>
      </c>
      <c r="D58" s="39">
        <v>1</v>
      </c>
      <c r="E58" s="40">
        <v>15.8</v>
      </c>
      <c r="F58" s="41">
        <f t="shared" si="0"/>
        <v>15.8</v>
      </c>
    </row>
    <row r="59" spans="1:6">
      <c r="A59" s="37">
        <v>49</v>
      </c>
      <c r="B59" s="38" t="s">
        <v>397</v>
      </c>
      <c r="C59" s="37" t="s">
        <v>349</v>
      </c>
      <c r="D59" s="39">
        <v>10</v>
      </c>
      <c r="E59" s="40">
        <v>6.3</v>
      </c>
      <c r="F59" s="41">
        <f t="shared" si="0"/>
        <v>63</v>
      </c>
    </row>
    <row r="60" spans="1:6">
      <c r="A60" s="37">
        <v>50</v>
      </c>
      <c r="B60" s="38" t="s">
        <v>398</v>
      </c>
      <c r="C60" s="37" t="s">
        <v>349</v>
      </c>
      <c r="D60" s="39">
        <v>2</v>
      </c>
      <c r="E60" s="40">
        <v>5.88</v>
      </c>
      <c r="F60" s="41">
        <f t="shared" si="0"/>
        <v>11.76</v>
      </c>
    </row>
    <row r="61" ht="28.5" spans="1:6">
      <c r="A61" s="37">
        <v>51</v>
      </c>
      <c r="B61" s="38" t="s">
        <v>399</v>
      </c>
      <c r="C61" s="37" t="s">
        <v>349</v>
      </c>
      <c r="D61" s="39">
        <v>10</v>
      </c>
      <c r="E61" s="40">
        <v>5.63</v>
      </c>
      <c r="F61" s="41">
        <f t="shared" si="0"/>
        <v>56.3</v>
      </c>
    </row>
    <row r="62" spans="1:6">
      <c r="A62" s="37">
        <v>52</v>
      </c>
      <c r="B62" s="38" t="s">
        <v>400</v>
      </c>
      <c r="C62" s="37" t="s">
        <v>349</v>
      </c>
      <c r="D62" s="39">
        <v>10</v>
      </c>
      <c r="E62" s="40">
        <v>8</v>
      </c>
      <c r="F62" s="41">
        <f t="shared" si="0"/>
        <v>80</v>
      </c>
    </row>
    <row r="63" ht="28.5" spans="1:6">
      <c r="A63" s="37">
        <v>53</v>
      </c>
      <c r="B63" s="38" t="s">
        <v>401</v>
      </c>
      <c r="C63" s="37" t="s">
        <v>349</v>
      </c>
      <c r="D63" s="39">
        <v>0</v>
      </c>
      <c r="E63" s="40">
        <v>27.67</v>
      </c>
      <c r="F63" s="41">
        <f t="shared" si="0"/>
        <v>0</v>
      </c>
    </row>
    <row r="64" spans="1:6">
      <c r="A64" s="37">
        <v>54</v>
      </c>
      <c r="B64" s="38" t="s">
        <v>402</v>
      </c>
      <c r="C64" s="37" t="s">
        <v>349</v>
      </c>
      <c r="D64" s="39">
        <v>5</v>
      </c>
      <c r="E64" s="40">
        <v>6.79</v>
      </c>
      <c r="F64" s="41">
        <f t="shared" si="0"/>
        <v>33.95</v>
      </c>
    </row>
    <row r="65" spans="1:6">
      <c r="A65" s="37">
        <v>55</v>
      </c>
      <c r="B65" s="38" t="s">
        <v>403</v>
      </c>
      <c r="C65" s="37" t="s">
        <v>349</v>
      </c>
      <c r="D65" s="39">
        <v>2</v>
      </c>
      <c r="E65" s="40">
        <v>5.9</v>
      </c>
      <c r="F65" s="41">
        <f t="shared" si="0"/>
        <v>11.8</v>
      </c>
    </row>
    <row r="66" spans="1:6">
      <c r="A66" s="37">
        <v>56</v>
      </c>
      <c r="B66" s="38" t="s">
        <v>404</v>
      </c>
      <c r="C66" s="37" t="s">
        <v>349</v>
      </c>
      <c r="D66" s="39">
        <v>2</v>
      </c>
      <c r="E66" s="40">
        <v>23.73</v>
      </c>
      <c r="F66" s="41">
        <f t="shared" si="0"/>
        <v>47.46</v>
      </c>
    </row>
    <row r="67" spans="1:6">
      <c r="A67" s="37">
        <v>57</v>
      </c>
      <c r="B67" s="38" t="s">
        <v>405</v>
      </c>
      <c r="C67" s="37" t="s">
        <v>349</v>
      </c>
      <c r="D67" s="39">
        <v>1</v>
      </c>
      <c r="E67" s="40">
        <v>9</v>
      </c>
      <c r="F67" s="41">
        <f t="shared" si="0"/>
        <v>9</v>
      </c>
    </row>
    <row r="68" spans="1:6">
      <c r="A68" s="37">
        <v>58</v>
      </c>
      <c r="B68" s="38" t="s">
        <v>406</v>
      </c>
      <c r="C68" s="37" t="s">
        <v>349</v>
      </c>
      <c r="D68" s="39">
        <v>1</v>
      </c>
      <c r="E68" s="40">
        <v>62.69</v>
      </c>
      <c r="F68" s="41">
        <f t="shared" si="0"/>
        <v>62.69</v>
      </c>
    </row>
    <row r="69" spans="1:6">
      <c r="A69" s="37">
        <v>59</v>
      </c>
      <c r="B69" s="38" t="s">
        <v>407</v>
      </c>
      <c r="C69" s="37" t="s">
        <v>349</v>
      </c>
      <c r="D69" s="39">
        <v>1</v>
      </c>
      <c r="E69" s="40">
        <v>36.68</v>
      </c>
      <c r="F69" s="41">
        <f t="shared" si="0"/>
        <v>36.68</v>
      </c>
    </row>
    <row r="70" spans="1:6">
      <c r="A70" s="37">
        <v>60</v>
      </c>
      <c r="B70" s="38" t="s">
        <v>408</v>
      </c>
      <c r="C70" s="37" t="s">
        <v>349</v>
      </c>
      <c r="D70" s="39">
        <v>1</v>
      </c>
      <c r="E70" s="40">
        <v>57.67</v>
      </c>
      <c r="F70" s="41">
        <f t="shared" si="0"/>
        <v>57.67</v>
      </c>
    </row>
    <row r="71" ht="28.5" spans="1:6">
      <c r="A71" s="37">
        <v>61</v>
      </c>
      <c r="B71" s="38" t="s">
        <v>409</v>
      </c>
      <c r="C71" s="37" t="s">
        <v>349</v>
      </c>
      <c r="D71" s="39">
        <v>1</v>
      </c>
      <c r="E71" s="40">
        <v>53.87</v>
      </c>
      <c r="F71" s="41">
        <f t="shared" si="0"/>
        <v>53.87</v>
      </c>
    </row>
    <row r="72" ht="28.5" spans="1:6">
      <c r="A72" s="37">
        <v>62</v>
      </c>
      <c r="B72" s="38" t="s">
        <v>410</v>
      </c>
      <c r="C72" s="37" t="s">
        <v>349</v>
      </c>
      <c r="D72" s="39">
        <v>1</v>
      </c>
      <c r="E72" s="40">
        <v>38.39</v>
      </c>
      <c r="F72" s="41">
        <f t="shared" si="0"/>
        <v>38.39</v>
      </c>
    </row>
    <row r="73" ht="28.5" spans="1:6">
      <c r="A73" s="37">
        <v>63</v>
      </c>
      <c r="B73" s="38" t="s">
        <v>411</v>
      </c>
      <c r="C73" s="37" t="s">
        <v>349</v>
      </c>
      <c r="D73" s="39">
        <v>1</v>
      </c>
      <c r="E73" s="40">
        <v>33.34</v>
      </c>
      <c r="F73" s="41">
        <f t="shared" si="0"/>
        <v>33.34</v>
      </c>
    </row>
    <row r="74" ht="28.5" spans="1:6">
      <c r="A74" s="37">
        <v>64</v>
      </c>
      <c r="B74" s="38" t="s">
        <v>412</v>
      </c>
      <c r="C74" s="37" t="s">
        <v>349</v>
      </c>
      <c r="D74" s="39">
        <v>1</v>
      </c>
      <c r="E74" s="40">
        <v>64.59</v>
      </c>
      <c r="F74" s="41">
        <f t="shared" si="0"/>
        <v>64.59</v>
      </c>
    </row>
    <row r="75" ht="28.5" spans="1:6">
      <c r="A75" s="37">
        <v>65</v>
      </c>
      <c r="B75" s="38" t="s">
        <v>413</v>
      </c>
      <c r="C75" s="37" t="s">
        <v>349</v>
      </c>
      <c r="D75" s="39">
        <v>1</v>
      </c>
      <c r="E75" s="40">
        <v>39</v>
      </c>
      <c r="F75" s="41">
        <f t="shared" ref="F75:F90" si="1">TRUNC(E75*D75,2)</f>
        <v>39</v>
      </c>
    </row>
    <row r="76" ht="28.5" spans="1:6">
      <c r="A76" s="37">
        <v>66</v>
      </c>
      <c r="B76" s="38" t="s">
        <v>414</v>
      </c>
      <c r="C76" s="37" t="s">
        <v>349</v>
      </c>
      <c r="D76" s="39">
        <v>1</v>
      </c>
      <c r="E76" s="40">
        <v>248.59</v>
      </c>
      <c r="F76" s="41">
        <f t="shared" si="1"/>
        <v>248.59</v>
      </c>
    </row>
    <row r="77" spans="1:6">
      <c r="A77" s="37">
        <v>67</v>
      </c>
      <c r="B77" s="38" t="s">
        <v>415</v>
      </c>
      <c r="C77" s="37" t="s">
        <v>349</v>
      </c>
      <c r="D77" s="39">
        <v>1</v>
      </c>
      <c r="E77" s="40">
        <v>19.52</v>
      </c>
      <c r="F77" s="41">
        <f t="shared" si="1"/>
        <v>19.52</v>
      </c>
    </row>
    <row r="78" spans="1:6">
      <c r="A78" s="37">
        <v>68</v>
      </c>
      <c r="B78" s="38" t="s">
        <v>416</v>
      </c>
      <c r="C78" s="37" t="s">
        <v>349</v>
      </c>
      <c r="D78" s="39">
        <v>2</v>
      </c>
      <c r="E78" s="40">
        <v>5.55</v>
      </c>
      <c r="F78" s="41">
        <f t="shared" si="1"/>
        <v>11.1</v>
      </c>
    </row>
    <row r="79" spans="1:6">
      <c r="A79" s="37">
        <v>69</v>
      </c>
      <c r="B79" s="38" t="s">
        <v>417</v>
      </c>
      <c r="C79" s="37" t="s">
        <v>349</v>
      </c>
      <c r="D79" s="39">
        <v>2</v>
      </c>
      <c r="E79" s="40">
        <v>7.93</v>
      </c>
      <c r="F79" s="41">
        <f t="shared" si="1"/>
        <v>15.86</v>
      </c>
    </row>
    <row r="80" spans="1:6">
      <c r="A80" s="37">
        <v>70</v>
      </c>
      <c r="B80" s="38" t="s">
        <v>418</v>
      </c>
      <c r="C80" s="37" t="s">
        <v>349</v>
      </c>
      <c r="D80" s="39">
        <v>1</v>
      </c>
      <c r="E80" s="40">
        <v>58.03</v>
      </c>
      <c r="F80" s="41">
        <f t="shared" si="1"/>
        <v>58.03</v>
      </c>
    </row>
    <row r="81" spans="1:6">
      <c r="A81" s="37">
        <v>71</v>
      </c>
      <c r="B81" s="38" t="s">
        <v>419</v>
      </c>
      <c r="C81" s="37" t="s">
        <v>349</v>
      </c>
      <c r="D81" s="39">
        <v>3</v>
      </c>
      <c r="E81" s="40">
        <v>31.97</v>
      </c>
      <c r="F81" s="41">
        <f t="shared" si="1"/>
        <v>95.91</v>
      </c>
    </row>
    <row r="82" spans="1:6">
      <c r="A82" s="37">
        <v>72</v>
      </c>
      <c r="B82" s="38" t="s">
        <v>420</v>
      </c>
      <c r="C82" s="37" t="s">
        <v>349</v>
      </c>
      <c r="D82" s="39">
        <v>1</v>
      </c>
      <c r="E82" s="40">
        <v>41.37</v>
      </c>
      <c r="F82" s="41">
        <f t="shared" si="1"/>
        <v>41.37</v>
      </c>
    </row>
    <row r="83" ht="28.5" spans="1:6">
      <c r="A83" s="37">
        <v>73</v>
      </c>
      <c r="B83" s="38" t="s">
        <v>421</v>
      </c>
      <c r="C83" s="37" t="s">
        <v>349</v>
      </c>
      <c r="D83" s="39">
        <v>1</v>
      </c>
      <c r="E83" s="40">
        <v>56.37</v>
      </c>
      <c r="F83" s="41">
        <f t="shared" si="1"/>
        <v>56.37</v>
      </c>
    </row>
    <row r="84" spans="1:6">
      <c r="A84" s="37">
        <v>74</v>
      </c>
      <c r="B84" s="38" t="s">
        <v>422</v>
      </c>
      <c r="C84" s="37" t="s">
        <v>349</v>
      </c>
      <c r="D84" s="39">
        <v>1</v>
      </c>
      <c r="E84" s="40">
        <v>64.11</v>
      </c>
      <c r="F84" s="41">
        <f t="shared" si="1"/>
        <v>64.11</v>
      </c>
    </row>
    <row r="85" spans="1:6">
      <c r="A85" s="37">
        <v>75</v>
      </c>
      <c r="B85" s="38" t="s">
        <v>423</v>
      </c>
      <c r="C85" s="37" t="s">
        <v>349</v>
      </c>
      <c r="D85" s="39">
        <v>1</v>
      </c>
      <c r="E85" s="40">
        <v>47.71</v>
      </c>
      <c r="F85" s="41">
        <f t="shared" si="1"/>
        <v>47.71</v>
      </c>
    </row>
    <row r="86" spans="1:6">
      <c r="A86" s="37">
        <v>76</v>
      </c>
      <c r="B86" s="38" t="s">
        <v>424</v>
      </c>
      <c r="C86" s="37" t="s">
        <v>349</v>
      </c>
      <c r="D86" s="39">
        <v>1</v>
      </c>
      <c r="E86" s="40">
        <v>102.92</v>
      </c>
      <c r="F86" s="41">
        <f t="shared" si="1"/>
        <v>102.92</v>
      </c>
    </row>
    <row r="87" spans="1:6">
      <c r="A87" s="37">
        <v>77</v>
      </c>
      <c r="B87" s="38" t="s">
        <v>425</v>
      </c>
      <c r="C87" s="37" t="s">
        <v>349</v>
      </c>
      <c r="D87" s="39">
        <v>1</v>
      </c>
      <c r="E87" s="40">
        <v>74.38</v>
      </c>
      <c r="F87" s="41">
        <f t="shared" si="1"/>
        <v>74.38</v>
      </c>
    </row>
    <row r="88" spans="1:6">
      <c r="A88" s="37">
        <v>78</v>
      </c>
      <c r="B88" s="42" t="s">
        <v>426</v>
      </c>
      <c r="C88" s="37" t="s">
        <v>349</v>
      </c>
      <c r="D88" s="39">
        <v>1</v>
      </c>
      <c r="E88" s="40">
        <v>288.5</v>
      </c>
      <c r="F88" s="41">
        <f t="shared" si="1"/>
        <v>288.5</v>
      </c>
    </row>
    <row r="89" spans="1:6">
      <c r="A89" s="37">
        <v>79</v>
      </c>
      <c r="B89" s="42" t="s">
        <v>427</v>
      </c>
      <c r="C89" s="37" t="s">
        <v>349</v>
      </c>
      <c r="D89" s="39">
        <v>1</v>
      </c>
      <c r="E89" s="40">
        <v>98</v>
      </c>
      <c r="F89" s="41">
        <f t="shared" si="1"/>
        <v>98</v>
      </c>
    </row>
    <row r="90" spans="1:6">
      <c r="A90" s="37">
        <v>80</v>
      </c>
      <c r="B90" s="42" t="s">
        <v>428</v>
      </c>
      <c r="C90" s="37" t="s">
        <v>349</v>
      </c>
      <c r="D90" s="39">
        <v>1</v>
      </c>
      <c r="E90" s="40">
        <v>129.98</v>
      </c>
      <c r="F90" s="41">
        <f t="shared" si="1"/>
        <v>129.98</v>
      </c>
    </row>
    <row r="91" spans="1:6">
      <c r="A91" s="43" t="s">
        <v>347</v>
      </c>
      <c r="B91" s="43"/>
      <c r="C91" s="43"/>
      <c r="D91" s="43"/>
      <c r="E91" s="44">
        <f>TRUNC(SUM(F11:F90),2)</f>
        <v>3672.06</v>
      </c>
      <c r="F91" s="44"/>
    </row>
    <row r="92" spans="1:6">
      <c r="A92" s="43" t="s">
        <v>429</v>
      </c>
      <c r="B92" s="43"/>
      <c r="C92" s="43"/>
      <c r="D92" s="43"/>
      <c r="E92" s="43">
        <v>5</v>
      </c>
      <c r="F92" s="43"/>
    </row>
    <row r="93" spans="1:6">
      <c r="A93" s="43" t="s">
        <v>430</v>
      </c>
      <c r="B93" s="43"/>
      <c r="C93" s="43"/>
      <c r="D93" s="43"/>
      <c r="E93" s="44">
        <f>TRUNC((E91/E92)/12,2)</f>
        <v>61.2</v>
      </c>
      <c r="F93" s="44"/>
    </row>
    <row r="94" spans="1:6">
      <c r="A94" s="45"/>
      <c r="B94" s="45"/>
      <c r="C94" s="45"/>
      <c r="D94" s="46"/>
      <c r="E94" s="45"/>
      <c r="F94" s="45"/>
    </row>
    <row r="95" spans="1:6">
      <c r="A95" s="45"/>
      <c r="B95" s="45"/>
      <c r="C95" s="45"/>
      <c r="D95" s="46"/>
      <c r="E95" s="45"/>
      <c r="F95" s="45"/>
    </row>
    <row r="96" spans="1:6">
      <c r="A96" s="45"/>
      <c r="B96" s="45"/>
      <c r="C96" s="45"/>
      <c r="D96" s="46"/>
      <c r="E96" s="45"/>
      <c r="F96" s="45"/>
    </row>
    <row r="97" spans="1:6">
      <c r="A97" s="47" t="s">
        <v>431</v>
      </c>
      <c r="B97" s="47"/>
      <c r="C97" s="47"/>
      <c r="D97" s="48"/>
      <c r="E97" s="47"/>
      <c r="F97" s="47"/>
    </row>
    <row r="98" ht="28.5" spans="1:6">
      <c r="A98" s="49" t="s">
        <v>267</v>
      </c>
      <c r="B98" s="49" t="s">
        <v>269</v>
      </c>
      <c r="C98" s="49" t="s">
        <v>270</v>
      </c>
      <c r="D98" s="49" t="s">
        <v>346</v>
      </c>
      <c r="E98" s="50" t="s">
        <v>246</v>
      </c>
      <c r="F98" s="50" t="s">
        <v>347</v>
      </c>
    </row>
    <row r="99" ht="28.5" spans="1:6">
      <c r="A99" s="37">
        <v>1</v>
      </c>
      <c r="B99" s="51" t="s">
        <v>432</v>
      </c>
      <c r="C99" s="37" t="s">
        <v>349</v>
      </c>
      <c r="D99" s="39">
        <v>0</v>
      </c>
      <c r="E99" s="40">
        <v>252.06</v>
      </c>
      <c r="F99" s="41">
        <f t="shared" ref="F99:F118" si="2">TRUNC(E99*D99,2)</f>
        <v>0</v>
      </c>
    </row>
    <row r="100" ht="42.75" spans="1:6">
      <c r="A100" s="37">
        <v>2</v>
      </c>
      <c r="B100" s="51" t="s">
        <v>433</v>
      </c>
      <c r="C100" s="37" t="s">
        <v>349</v>
      </c>
      <c r="D100" s="39">
        <v>1</v>
      </c>
      <c r="E100" s="40">
        <v>1636.81</v>
      </c>
      <c r="F100" s="41">
        <f t="shared" si="2"/>
        <v>1636.81</v>
      </c>
    </row>
    <row r="101" ht="28.5" spans="1:6">
      <c r="A101" s="37">
        <v>3</v>
      </c>
      <c r="B101" s="51" t="s">
        <v>434</v>
      </c>
      <c r="C101" s="37" t="s">
        <v>349</v>
      </c>
      <c r="D101" s="39">
        <v>1</v>
      </c>
      <c r="E101" s="40">
        <v>211.12</v>
      </c>
      <c r="F101" s="41">
        <f t="shared" si="2"/>
        <v>211.12</v>
      </c>
    </row>
    <row r="102" spans="1:6">
      <c r="A102" s="37">
        <v>4</v>
      </c>
      <c r="B102" s="42" t="s">
        <v>435</v>
      </c>
      <c r="C102" s="37" t="s">
        <v>349</v>
      </c>
      <c r="D102" s="39">
        <v>1</v>
      </c>
      <c r="E102" s="40">
        <v>221.04</v>
      </c>
      <c r="F102" s="41">
        <f t="shared" si="2"/>
        <v>221.04</v>
      </c>
    </row>
    <row r="103" ht="28.5" spans="1:6">
      <c r="A103" s="37">
        <v>5</v>
      </c>
      <c r="B103" s="42" t="s">
        <v>436</v>
      </c>
      <c r="C103" s="37" t="s">
        <v>349</v>
      </c>
      <c r="D103" s="39">
        <v>1</v>
      </c>
      <c r="E103" s="40">
        <v>178.67</v>
      </c>
      <c r="F103" s="41">
        <f t="shared" si="2"/>
        <v>178.67</v>
      </c>
    </row>
    <row r="104" spans="1:6">
      <c r="A104" s="37">
        <v>6</v>
      </c>
      <c r="B104" s="51" t="s">
        <v>437</v>
      </c>
      <c r="C104" s="37" t="s">
        <v>349</v>
      </c>
      <c r="D104" s="39">
        <v>1</v>
      </c>
      <c r="E104" s="40">
        <v>670.15</v>
      </c>
      <c r="F104" s="41">
        <f t="shared" si="2"/>
        <v>670.15</v>
      </c>
    </row>
    <row r="105" ht="28.5" spans="1:6">
      <c r="A105" s="37">
        <v>7</v>
      </c>
      <c r="B105" s="51" t="s">
        <v>438</v>
      </c>
      <c r="C105" s="37" t="s">
        <v>349</v>
      </c>
      <c r="D105" s="39">
        <v>0</v>
      </c>
      <c r="E105" s="40">
        <v>284</v>
      </c>
      <c r="F105" s="41">
        <f t="shared" si="2"/>
        <v>0</v>
      </c>
    </row>
    <row r="106" spans="1:6">
      <c r="A106" s="37">
        <v>8</v>
      </c>
      <c r="B106" s="51" t="s">
        <v>439</v>
      </c>
      <c r="C106" s="37" t="s">
        <v>349</v>
      </c>
      <c r="D106" s="39">
        <v>1</v>
      </c>
      <c r="E106" s="40">
        <v>295.17</v>
      </c>
      <c r="F106" s="41">
        <f t="shared" si="2"/>
        <v>295.17</v>
      </c>
    </row>
    <row r="107" spans="1:6">
      <c r="A107" s="37">
        <v>9</v>
      </c>
      <c r="B107" s="42" t="s">
        <v>440</v>
      </c>
      <c r="C107" s="37" t="s">
        <v>349</v>
      </c>
      <c r="D107" s="39">
        <v>1</v>
      </c>
      <c r="E107" s="40">
        <v>323.61</v>
      </c>
      <c r="F107" s="41">
        <f t="shared" si="2"/>
        <v>323.61</v>
      </c>
    </row>
    <row r="108" spans="1:6">
      <c r="A108" s="37">
        <v>10</v>
      </c>
      <c r="B108" s="51" t="s">
        <v>441</v>
      </c>
      <c r="C108" s="37" t="s">
        <v>349</v>
      </c>
      <c r="D108" s="39">
        <v>1</v>
      </c>
      <c r="E108" s="40">
        <v>455.33</v>
      </c>
      <c r="F108" s="41">
        <f t="shared" si="2"/>
        <v>455.33</v>
      </c>
    </row>
    <row r="109" spans="1:6">
      <c r="A109" s="37">
        <v>11</v>
      </c>
      <c r="B109" s="42" t="s">
        <v>442</v>
      </c>
      <c r="C109" s="37" t="s">
        <v>349</v>
      </c>
      <c r="D109" s="39">
        <v>1</v>
      </c>
      <c r="E109" s="40">
        <v>351</v>
      </c>
      <c r="F109" s="41">
        <f t="shared" si="2"/>
        <v>351</v>
      </c>
    </row>
    <row r="110" spans="1:6">
      <c r="A110" s="37">
        <v>12</v>
      </c>
      <c r="B110" s="42" t="s">
        <v>443</v>
      </c>
      <c r="C110" s="37" t="s">
        <v>349</v>
      </c>
      <c r="D110" s="39">
        <v>1</v>
      </c>
      <c r="E110" s="40">
        <v>270</v>
      </c>
      <c r="F110" s="41">
        <f t="shared" si="2"/>
        <v>270</v>
      </c>
    </row>
    <row r="111" ht="28.5" spans="1:6">
      <c r="A111" s="37">
        <v>13</v>
      </c>
      <c r="B111" s="51" t="s">
        <v>444</v>
      </c>
      <c r="C111" s="37" t="s">
        <v>349</v>
      </c>
      <c r="D111" s="39">
        <v>1</v>
      </c>
      <c r="E111" s="40">
        <v>457.22</v>
      </c>
      <c r="F111" s="41">
        <f t="shared" si="2"/>
        <v>457.22</v>
      </c>
    </row>
    <row r="112" spans="1:6">
      <c r="A112" s="37">
        <v>14</v>
      </c>
      <c r="B112" s="42" t="s">
        <v>445</v>
      </c>
      <c r="C112" s="37" t="s">
        <v>349</v>
      </c>
      <c r="D112" s="39">
        <v>1</v>
      </c>
      <c r="E112" s="40">
        <v>269.99</v>
      </c>
      <c r="F112" s="41">
        <f t="shared" si="2"/>
        <v>269.99</v>
      </c>
    </row>
    <row r="113" spans="1:6">
      <c r="A113" s="37">
        <v>15</v>
      </c>
      <c r="B113" s="51" t="s">
        <v>446</v>
      </c>
      <c r="C113" s="37" t="s">
        <v>349</v>
      </c>
      <c r="D113" s="39">
        <v>0</v>
      </c>
      <c r="E113" s="40">
        <v>1021.1</v>
      </c>
      <c r="F113" s="41">
        <f t="shared" si="2"/>
        <v>0</v>
      </c>
    </row>
    <row r="114" spans="1:6">
      <c r="A114" s="37">
        <v>16</v>
      </c>
      <c r="B114" s="42" t="s">
        <v>447</v>
      </c>
      <c r="C114" s="37" t="s">
        <v>349</v>
      </c>
      <c r="D114" s="39">
        <v>1</v>
      </c>
      <c r="E114" s="40">
        <v>174.28</v>
      </c>
      <c r="F114" s="41">
        <f t="shared" si="2"/>
        <v>174.28</v>
      </c>
    </row>
    <row r="115" spans="1:6">
      <c r="A115" s="37">
        <v>17</v>
      </c>
      <c r="B115" s="51" t="s">
        <v>448</v>
      </c>
      <c r="C115" s="37" t="s">
        <v>349</v>
      </c>
      <c r="D115" s="39">
        <v>1</v>
      </c>
      <c r="E115" s="40">
        <v>127.72</v>
      </c>
      <c r="F115" s="41">
        <f t="shared" si="2"/>
        <v>127.72</v>
      </c>
    </row>
    <row r="116" spans="1:6">
      <c r="A116" s="37">
        <v>18</v>
      </c>
      <c r="B116" s="42" t="s">
        <v>449</v>
      </c>
      <c r="C116" s="37" t="s">
        <v>349</v>
      </c>
      <c r="D116" s="39">
        <v>1</v>
      </c>
      <c r="E116" s="40">
        <v>241.42</v>
      </c>
      <c r="F116" s="41">
        <f t="shared" si="2"/>
        <v>241.42</v>
      </c>
    </row>
    <row r="117" spans="1:6">
      <c r="A117" s="37">
        <v>19</v>
      </c>
      <c r="B117" s="42" t="s">
        <v>450</v>
      </c>
      <c r="C117" s="37" t="s">
        <v>349</v>
      </c>
      <c r="D117" s="39">
        <v>1</v>
      </c>
      <c r="E117" s="40">
        <v>217.7</v>
      </c>
      <c r="F117" s="41">
        <f t="shared" si="2"/>
        <v>217.7</v>
      </c>
    </row>
    <row r="118" spans="1:6">
      <c r="A118" s="37">
        <v>20</v>
      </c>
      <c r="B118" s="42" t="s">
        <v>451</v>
      </c>
      <c r="C118" s="37" t="s">
        <v>349</v>
      </c>
      <c r="D118" s="39">
        <v>1</v>
      </c>
      <c r="E118" s="40">
        <v>170.81</v>
      </c>
      <c r="F118" s="41">
        <f t="shared" si="2"/>
        <v>170.81</v>
      </c>
    </row>
    <row r="119" spans="1:6">
      <c r="A119" s="52" t="s">
        <v>44</v>
      </c>
      <c r="B119" s="53"/>
      <c r="C119" s="54"/>
      <c r="D119" s="46"/>
      <c r="E119" s="54"/>
      <c r="F119" s="55">
        <f>SUBTOTAL(109,Table44[VALOR TOTAL])</f>
        <v>6272.04</v>
      </c>
    </row>
    <row r="120" spans="1:6">
      <c r="A120" s="56" t="s">
        <v>452</v>
      </c>
      <c r="B120" s="57"/>
      <c r="C120" s="57"/>
      <c r="D120" s="58"/>
      <c r="E120" s="59"/>
      <c r="F120" s="60">
        <f>Table44[[#Totals],[VALOR TOTAL]]*0.5%</f>
        <v>31.3602</v>
      </c>
    </row>
    <row r="121" spans="1:6">
      <c r="A121" s="61" t="s">
        <v>453</v>
      </c>
      <c r="B121" s="61"/>
      <c r="C121" s="61"/>
      <c r="D121" s="62"/>
      <c r="E121" s="61"/>
      <c r="F121" s="63">
        <f>Table44[[#Totals],[VALOR TOTAL]]*(1-0.2)/(12*8)</f>
        <v>52.267</v>
      </c>
    </row>
    <row r="122" spans="1:6">
      <c r="A122" s="61" t="s">
        <v>454</v>
      </c>
      <c r="B122" s="61"/>
      <c r="C122" s="61"/>
      <c r="D122" s="62"/>
      <c r="E122" s="61"/>
      <c r="F122" s="63">
        <f>F120+F121</f>
        <v>83.6272</v>
      </c>
    </row>
    <row r="123" spans="1:6">
      <c r="A123" s="61" t="s">
        <v>429</v>
      </c>
      <c r="B123" s="61"/>
      <c r="C123" s="61"/>
      <c r="D123" s="62"/>
      <c r="E123" s="61"/>
      <c r="F123" s="64">
        <v>5</v>
      </c>
    </row>
    <row r="124" spans="1:6">
      <c r="A124" s="61" t="s">
        <v>430</v>
      </c>
      <c r="B124" s="61"/>
      <c r="C124" s="61"/>
      <c r="D124" s="62"/>
      <c r="E124" s="61"/>
      <c r="F124" s="63">
        <f>TRUNC(F122/F123,2)</f>
        <v>16.72</v>
      </c>
    </row>
    <row r="125" spans="1:6">
      <c r="A125" s="65"/>
      <c r="B125" s="65"/>
      <c r="C125" s="65"/>
      <c r="D125" s="66"/>
      <c r="E125" s="65"/>
      <c r="F125" s="65"/>
    </row>
    <row r="126" spans="1:6">
      <c r="A126" s="67" t="s">
        <v>455</v>
      </c>
      <c r="B126" s="68"/>
      <c r="C126" s="68"/>
      <c r="D126" s="69"/>
      <c r="E126" s="68"/>
      <c r="F126" s="68"/>
    </row>
    <row r="127" spans="1:6">
      <c r="A127" s="68"/>
      <c r="B127" s="68"/>
      <c r="C127" s="68"/>
      <c r="D127" s="69"/>
      <c r="E127" s="68"/>
      <c r="F127" s="68"/>
    </row>
    <row r="128" spans="1:6">
      <c r="A128" s="68"/>
      <c r="B128" s="68"/>
      <c r="C128" s="68"/>
      <c r="D128" s="69"/>
      <c r="E128" s="68"/>
      <c r="F128" s="68"/>
    </row>
    <row r="129" spans="1:6">
      <c r="A129" s="68"/>
      <c r="B129" s="68"/>
      <c r="C129" s="68"/>
      <c r="D129" s="69"/>
      <c r="E129" s="68"/>
      <c r="F129" s="68"/>
    </row>
    <row r="130" spans="1:6">
      <c r="A130" s="68"/>
      <c r="B130" s="68"/>
      <c r="C130" s="68"/>
      <c r="D130" s="69"/>
      <c r="E130" s="68"/>
      <c r="F130" s="68"/>
    </row>
    <row r="131" spans="1:6">
      <c r="A131" s="68"/>
      <c r="B131" s="68"/>
      <c r="C131" s="68"/>
      <c r="D131" s="69"/>
      <c r="E131" s="68"/>
      <c r="F131" s="68"/>
    </row>
    <row r="132" spans="1:6">
      <c r="A132" s="68"/>
      <c r="B132" s="68"/>
      <c r="C132" s="68"/>
      <c r="D132" s="69"/>
      <c r="E132" s="68"/>
      <c r="F132" s="68"/>
    </row>
    <row r="133" spans="1:6">
      <c r="A133" s="68"/>
      <c r="B133" s="68"/>
      <c r="C133" s="68"/>
      <c r="D133" s="69"/>
      <c r="E133" s="68"/>
      <c r="F133" s="68"/>
    </row>
    <row r="134" spans="1:6">
      <c r="A134" s="68"/>
      <c r="B134" s="68"/>
      <c r="C134" s="68"/>
      <c r="D134" s="69"/>
      <c r="E134" s="68"/>
      <c r="F134" s="68"/>
    </row>
    <row r="135" spans="1:6">
      <c r="A135" s="68"/>
      <c r="B135" s="68"/>
      <c r="C135" s="68"/>
      <c r="D135" s="69"/>
      <c r="E135" s="68"/>
      <c r="F135" s="68"/>
    </row>
  </sheetData>
  <mergeCells count="15">
    <mergeCell ref="A1:G1"/>
    <mergeCell ref="A9:F9"/>
    <mergeCell ref="A91:D91"/>
    <mergeCell ref="E91:F91"/>
    <mergeCell ref="A92:D92"/>
    <mergeCell ref="E92:F92"/>
    <mergeCell ref="A93:D93"/>
    <mergeCell ref="E93:F93"/>
    <mergeCell ref="A97:F97"/>
    <mergeCell ref="A120:E120"/>
    <mergeCell ref="A121:E121"/>
    <mergeCell ref="A122:E122"/>
    <mergeCell ref="A123:E123"/>
    <mergeCell ref="A124:E124"/>
    <mergeCell ref="A126:F135"/>
  </mergeCells>
  <pageMargins left="0.75" right="0.75" top="1" bottom="1" header="0.5" footer="0.5"/>
  <pageSetup paperSize="9" orientation="portrait"/>
  <headerFooter/>
  <tableParts count="2">
    <tablePart r:id="rId1"/>
    <tablePart r:id="rId2"/>
  </tableParts>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21"/>
  <sheetViews>
    <sheetView workbookViewId="0">
      <selection activeCell="E23" sqref="E23"/>
    </sheetView>
  </sheetViews>
  <sheetFormatPr defaultColWidth="9.14285714285714" defaultRowHeight="15" outlineLevelCol="5"/>
  <cols>
    <col min="2" max="2" width="36" customWidth="1"/>
    <col min="3" max="3" width="14.7142857142857" customWidth="1"/>
    <col min="4" max="4" width="15.5714285714286" customWidth="1"/>
    <col min="5" max="5" width="13.5714285714286" customWidth="1"/>
    <col min="6" max="6" width="12.5714285714286" customWidth="1"/>
  </cols>
  <sheetData>
    <row r="1" spans="1:6">
      <c r="A1" s="11" t="s">
        <v>456</v>
      </c>
      <c r="B1" s="11"/>
      <c r="C1" s="11"/>
      <c r="D1" s="11"/>
      <c r="E1" s="11"/>
      <c r="F1" s="11"/>
    </row>
    <row r="2" spans="1:6">
      <c r="A2" s="12" t="s">
        <v>267</v>
      </c>
      <c r="B2" s="12" t="s">
        <v>269</v>
      </c>
      <c r="C2" s="12" t="s">
        <v>270</v>
      </c>
      <c r="D2" s="12" t="s">
        <v>272</v>
      </c>
      <c r="E2" s="12" t="s">
        <v>246</v>
      </c>
      <c r="F2" s="12" t="s">
        <v>347</v>
      </c>
    </row>
    <row r="3" spans="1:6">
      <c r="A3" s="12"/>
      <c r="B3" s="12"/>
      <c r="C3" s="12"/>
      <c r="D3" s="12"/>
      <c r="E3" s="12"/>
      <c r="F3" s="12"/>
    </row>
    <row r="4" spans="1:6">
      <c r="A4" s="12"/>
      <c r="B4" s="12"/>
      <c r="C4" s="12"/>
      <c r="D4" s="12"/>
      <c r="E4" s="12"/>
      <c r="F4" s="12"/>
    </row>
    <row r="5" spans="1:4">
      <c r="A5" s="13">
        <v>1</v>
      </c>
      <c r="B5" s="14" t="s">
        <v>457</v>
      </c>
      <c r="C5" s="14"/>
      <c r="D5" s="14"/>
    </row>
    <row r="6" ht="30" spans="1:6">
      <c r="A6" s="13"/>
      <c r="B6" s="15" t="s">
        <v>458</v>
      </c>
      <c r="C6" s="16" t="s">
        <v>277</v>
      </c>
      <c r="D6" s="16">
        <v>1</v>
      </c>
      <c r="E6" s="17">
        <v>32.87</v>
      </c>
      <c r="F6" s="17">
        <f t="shared" ref="F6:F18" si="0">TRUNC(E6*D6,2)</f>
        <v>32.87</v>
      </c>
    </row>
    <row r="7" spans="1:6">
      <c r="A7" s="13"/>
      <c r="B7" s="15" t="s">
        <v>459</v>
      </c>
      <c r="C7" s="16" t="s">
        <v>277</v>
      </c>
      <c r="D7" s="16">
        <v>1</v>
      </c>
      <c r="E7" s="17">
        <v>14.55</v>
      </c>
      <c r="F7" s="17">
        <f t="shared" si="0"/>
        <v>14.55</v>
      </c>
    </row>
    <row r="8" ht="30" spans="1:6">
      <c r="A8" s="13"/>
      <c r="B8" s="15" t="s">
        <v>460</v>
      </c>
      <c r="C8" s="16" t="s">
        <v>461</v>
      </c>
      <c r="D8" s="16">
        <v>1</v>
      </c>
      <c r="E8" s="17">
        <v>73.39</v>
      </c>
      <c r="F8" s="17">
        <f t="shared" si="0"/>
        <v>73.39</v>
      </c>
    </row>
    <row r="9" ht="30" spans="1:6">
      <c r="A9" s="13"/>
      <c r="B9" s="15" t="s">
        <v>462</v>
      </c>
      <c r="C9" s="16" t="s">
        <v>461</v>
      </c>
      <c r="D9" s="16">
        <v>1</v>
      </c>
      <c r="E9" s="17">
        <v>17.89</v>
      </c>
      <c r="F9" s="17">
        <f t="shared" si="0"/>
        <v>17.89</v>
      </c>
    </row>
    <row r="10" spans="1:6">
      <c r="A10" s="13"/>
      <c r="B10" s="15" t="s">
        <v>463</v>
      </c>
      <c r="C10" s="16" t="s">
        <v>464</v>
      </c>
      <c r="D10" s="16">
        <v>10</v>
      </c>
      <c r="E10" s="17">
        <v>1.5</v>
      </c>
      <c r="F10" s="17">
        <f t="shared" si="0"/>
        <v>15</v>
      </c>
    </row>
    <row r="11" spans="1:6">
      <c r="A11" s="13"/>
      <c r="B11" s="15" t="s">
        <v>465</v>
      </c>
      <c r="C11" s="16" t="s">
        <v>466</v>
      </c>
      <c r="D11" s="16">
        <v>2</v>
      </c>
      <c r="E11" s="17">
        <v>9.44</v>
      </c>
      <c r="F11" s="17">
        <f t="shared" si="0"/>
        <v>18.88</v>
      </c>
    </row>
    <row r="12" spans="1:6">
      <c r="A12" s="13"/>
      <c r="B12" s="15" t="s">
        <v>467</v>
      </c>
      <c r="C12" s="16" t="s">
        <v>466</v>
      </c>
      <c r="D12" s="16">
        <v>5</v>
      </c>
      <c r="E12" s="17">
        <v>0.81</v>
      </c>
      <c r="F12" s="17">
        <f t="shared" si="0"/>
        <v>4.05</v>
      </c>
    </row>
    <row r="13" spans="1:6">
      <c r="A13" s="13"/>
      <c r="B13" s="15" t="s">
        <v>468</v>
      </c>
      <c r="C13" s="16" t="s">
        <v>469</v>
      </c>
      <c r="D13" s="16">
        <v>2</v>
      </c>
      <c r="E13" s="17">
        <v>3.4</v>
      </c>
      <c r="F13" s="17">
        <f t="shared" si="0"/>
        <v>6.8</v>
      </c>
    </row>
    <row r="14" spans="1:6">
      <c r="A14" s="13"/>
      <c r="B14" s="15" t="s">
        <v>470</v>
      </c>
      <c r="C14" s="16" t="s">
        <v>469</v>
      </c>
      <c r="D14" s="16">
        <v>2</v>
      </c>
      <c r="E14" s="17">
        <v>3.35</v>
      </c>
      <c r="F14" s="17">
        <f t="shared" si="0"/>
        <v>6.7</v>
      </c>
    </row>
    <row r="15" ht="30" spans="1:6">
      <c r="A15" s="16">
        <v>2</v>
      </c>
      <c r="B15" s="15" t="s">
        <v>471</v>
      </c>
      <c r="C15" s="16" t="s">
        <v>466</v>
      </c>
      <c r="D15" s="16">
        <v>1</v>
      </c>
      <c r="E15" s="17">
        <v>356</v>
      </c>
      <c r="F15" s="17">
        <f t="shared" si="0"/>
        <v>356</v>
      </c>
    </row>
    <row r="16" ht="30" spans="1:6">
      <c r="A16" s="16">
        <v>3</v>
      </c>
      <c r="B16" s="15" t="s">
        <v>472</v>
      </c>
      <c r="C16" s="16" t="s">
        <v>285</v>
      </c>
      <c r="D16" s="16">
        <v>1</v>
      </c>
      <c r="E16" s="17">
        <v>887.88</v>
      </c>
      <c r="F16" s="17">
        <f t="shared" si="0"/>
        <v>887.88</v>
      </c>
    </row>
    <row r="17" ht="30" spans="1:6">
      <c r="A17" s="16">
        <v>4</v>
      </c>
      <c r="B17" s="15" t="s">
        <v>473</v>
      </c>
      <c r="C17" s="16" t="s">
        <v>277</v>
      </c>
      <c r="D17" s="16">
        <v>3</v>
      </c>
      <c r="E17" s="17">
        <v>21.55</v>
      </c>
      <c r="F17" s="17">
        <f t="shared" si="0"/>
        <v>64.65</v>
      </c>
    </row>
    <row r="18" ht="30" spans="1:6">
      <c r="A18" s="16">
        <v>5</v>
      </c>
      <c r="B18" s="15" t="s">
        <v>474</v>
      </c>
      <c r="C18" s="16" t="s">
        <v>277</v>
      </c>
      <c r="D18" s="16">
        <v>6</v>
      </c>
      <c r="E18" s="17">
        <v>37.5</v>
      </c>
      <c r="F18" s="17">
        <f t="shared" si="0"/>
        <v>225</v>
      </c>
    </row>
    <row r="19" spans="1:6">
      <c r="A19" s="18" t="s">
        <v>347</v>
      </c>
      <c r="B19" s="18"/>
      <c r="C19" s="18"/>
      <c r="D19" s="18"/>
      <c r="E19" s="19">
        <f>TRUNC(SUM(F6:F18),2)</f>
        <v>1723.66</v>
      </c>
      <c r="F19" s="19"/>
    </row>
    <row r="20" spans="1:6">
      <c r="A20" s="11" t="s">
        <v>475</v>
      </c>
      <c r="B20" s="11"/>
      <c r="C20" s="11"/>
      <c r="D20" s="11"/>
      <c r="E20" s="20">
        <v>8</v>
      </c>
      <c r="F20" s="20"/>
    </row>
    <row r="21" spans="1:6">
      <c r="A21" s="11" t="s">
        <v>430</v>
      </c>
      <c r="B21" s="11"/>
      <c r="C21" s="11"/>
      <c r="D21" s="11"/>
      <c r="E21" s="21">
        <f>TRUNC((E19/E20)/12,2)</f>
        <v>17.95</v>
      </c>
      <c r="F21" s="21"/>
    </row>
  </sheetData>
  <mergeCells count="15">
    <mergeCell ref="A1:F1"/>
    <mergeCell ref="B5:D5"/>
    <mergeCell ref="A19:D19"/>
    <mergeCell ref="E19:F19"/>
    <mergeCell ref="A20:D20"/>
    <mergeCell ref="E20:F20"/>
    <mergeCell ref="A21:D21"/>
    <mergeCell ref="E21:F21"/>
    <mergeCell ref="A2:A4"/>
    <mergeCell ref="A5:A14"/>
    <mergeCell ref="B2:B4"/>
    <mergeCell ref="C2:C4"/>
    <mergeCell ref="D2:D4"/>
    <mergeCell ref="E2:E4"/>
    <mergeCell ref="F2:F4"/>
  </mergeCells>
  <pageMargins left="0.75" right="0.75" top="1" bottom="1" header="0.5" footer="0.5"/>
  <pageSetup paperSize="9" orientation="portrait"/>
  <headerFooter/>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15"/>
  <sheetViews>
    <sheetView topLeftCell="A7" workbookViewId="0">
      <selection activeCell="A1" sqref="A1:G13"/>
    </sheetView>
  </sheetViews>
  <sheetFormatPr defaultColWidth="8.88571428571429" defaultRowHeight="15" outlineLevelCol="6"/>
  <cols>
    <col min="2" max="2" width="31" customWidth="1"/>
    <col min="3" max="3" width="9.33333333333333" customWidth="1"/>
    <col min="4" max="4" width="14.2190476190476" customWidth="1"/>
    <col min="5" max="5" width="13.3333333333333" customWidth="1"/>
    <col min="6" max="6" width="14.8857142857143" customWidth="1"/>
    <col min="7" max="7" width="15" customWidth="1"/>
  </cols>
  <sheetData>
    <row r="1" ht="15.75" spans="1:7">
      <c r="A1" s="1" t="s">
        <v>476</v>
      </c>
      <c r="B1" s="2"/>
      <c r="C1" s="2"/>
      <c r="D1" s="2"/>
      <c r="E1" s="2"/>
      <c r="F1" s="2"/>
      <c r="G1" s="3"/>
    </row>
    <row r="2" ht="60.75" spans="1:7">
      <c r="A2" s="4" t="s">
        <v>2</v>
      </c>
      <c r="B2" s="4" t="s">
        <v>3</v>
      </c>
      <c r="C2" s="4" t="s">
        <v>277</v>
      </c>
      <c r="D2" s="4" t="s">
        <v>477</v>
      </c>
      <c r="E2" s="4" t="s">
        <v>478</v>
      </c>
      <c r="F2" s="4" t="s">
        <v>479</v>
      </c>
      <c r="G2" s="4" t="s">
        <v>480</v>
      </c>
    </row>
    <row r="3" ht="90" spans="1:7">
      <c r="A3" s="5">
        <v>1</v>
      </c>
      <c r="B3" s="6" t="s">
        <v>481</v>
      </c>
      <c r="C3" s="4" t="s">
        <v>482</v>
      </c>
      <c r="D3" s="5">
        <v>1</v>
      </c>
      <c r="E3" s="5">
        <v>12</v>
      </c>
      <c r="F3" s="7">
        <f>'Auxiliar Administrativo'!D147</f>
        <v>3121.35</v>
      </c>
      <c r="G3" s="7">
        <f>(D3*F3)*(E3)</f>
        <v>37456.2</v>
      </c>
    </row>
    <row r="4" ht="135" spans="1:7">
      <c r="A4" s="5">
        <v>2</v>
      </c>
      <c r="B4" s="6" t="s">
        <v>483</v>
      </c>
      <c r="C4" s="4" t="s">
        <v>482</v>
      </c>
      <c r="D4" s="5">
        <v>1</v>
      </c>
      <c r="E4" s="5">
        <v>12</v>
      </c>
      <c r="F4" s="7">
        <f>Portaria!D148</f>
        <v>6257.74</v>
      </c>
      <c r="G4" s="7">
        <f t="shared" ref="G4:G10" si="0">(D4*F4)*(E4)</f>
        <v>75092.88</v>
      </c>
    </row>
    <row r="5" ht="90" spans="1:7">
      <c r="A5" s="5">
        <v>3</v>
      </c>
      <c r="B5" s="6" t="s">
        <v>484</v>
      </c>
      <c r="C5" s="4" t="s">
        <v>482</v>
      </c>
      <c r="D5" s="5">
        <v>1</v>
      </c>
      <c r="E5" s="5">
        <v>12</v>
      </c>
      <c r="F5" s="7">
        <f>'Motorista Interestadual'!D147</f>
        <v>6443.97</v>
      </c>
      <c r="G5" s="7">
        <f t="shared" si="0"/>
        <v>77327.64</v>
      </c>
    </row>
    <row r="6" ht="75" spans="1:7">
      <c r="A6" s="5">
        <v>4</v>
      </c>
      <c r="B6" s="6" t="s">
        <v>485</v>
      </c>
      <c r="C6" s="4" t="s">
        <v>482</v>
      </c>
      <c r="D6" s="5">
        <v>1</v>
      </c>
      <c r="E6" s="5">
        <v>12</v>
      </c>
      <c r="F6" s="7">
        <f>Eletricista!D147</f>
        <v>5088.63</v>
      </c>
      <c r="G6" s="7">
        <f t="shared" si="0"/>
        <v>61063.56</v>
      </c>
    </row>
    <row r="7" ht="90" spans="1:7">
      <c r="A7" s="5">
        <v>5</v>
      </c>
      <c r="B7" s="6" t="s">
        <v>486</v>
      </c>
      <c r="C7" s="4" t="s">
        <v>482</v>
      </c>
      <c r="D7" s="5">
        <v>1</v>
      </c>
      <c r="E7" s="5">
        <v>12</v>
      </c>
      <c r="F7" s="7">
        <f>'Auxiliar de Manutenção Predial'!D147</f>
        <v>4228.74</v>
      </c>
      <c r="G7" s="7">
        <f t="shared" si="0"/>
        <v>50744.88</v>
      </c>
    </row>
    <row r="8" ht="75" spans="1:7">
      <c r="A8" s="5">
        <v>6</v>
      </c>
      <c r="B8" s="6" t="s">
        <v>487</v>
      </c>
      <c r="C8" s="4" t="s">
        <v>482</v>
      </c>
      <c r="D8" s="5">
        <v>1</v>
      </c>
      <c r="E8" s="5">
        <v>12</v>
      </c>
      <c r="F8" s="7">
        <f>Pintor!D147</f>
        <v>3996.46</v>
      </c>
      <c r="G8" s="7">
        <f t="shared" si="0"/>
        <v>47957.52</v>
      </c>
    </row>
    <row r="9" ht="90" spans="1:7">
      <c r="A9" s="5">
        <v>7</v>
      </c>
      <c r="B9" s="6" t="s">
        <v>488</v>
      </c>
      <c r="C9" s="4" t="s">
        <v>482</v>
      </c>
      <c r="D9" s="5">
        <v>1</v>
      </c>
      <c r="E9" s="5">
        <v>12</v>
      </c>
      <c r="F9" s="7">
        <f>'Técnico em Refrigeração'!D147</f>
        <v>3996.46</v>
      </c>
      <c r="G9" s="7">
        <f t="shared" si="0"/>
        <v>47957.52</v>
      </c>
    </row>
    <row r="10" ht="75" spans="1:7">
      <c r="A10" s="5">
        <v>8</v>
      </c>
      <c r="B10" s="6" t="s">
        <v>489</v>
      </c>
      <c r="C10" s="4" t="s">
        <v>482</v>
      </c>
      <c r="D10" s="5">
        <v>1</v>
      </c>
      <c r="E10" s="5">
        <v>12</v>
      </c>
      <c r="F10" s="7">
        <f>Jardineiro!D147</f>
        <v>3145.4</v>
      </c>
      <c r="G10" s="7">
        <f t="shared" si="0"/>
        <v>37744.8</v>
      </c>
    </row>
    <row r="11" ht="30" spans="1:7">
      <c r="A11" s="5">
        <v>9</v>
      </c>
      <c r="B11" s="6" t="s">
        <v>490</v>
      </c>
      <c r="C11" s="4" t="s">
        <v>482</v>
      </c>
      <c r="D11" s="5">
        <v>50</v>
      </c>
      <c r="E11" s="5">
        <v>12</v>
      </c>
      <c r="F11" s="7">
        <f>Diárias!E19</f>
        <v>190.08</v>
      </c>
      <c r="G11" s="7">
        <f>(D11*F11)</f>
        <v>9504</v>
      </c>
    </row>
    <row r="12" spans="1:7">
      <c r="A12" s="8" t="s">
        <v>190</v>
      </c>
      <c r="B12" s="8"/>
      <c r="C12" s="8"/>
      <c r="D12" s="8"/>
      <c r="E12" s="8"/>
      <c r="F12" s="8"/>
      <c r="G12" s="9">
        <f>SUM(G3:G11)</f>
        <v>444849</v>
      </c>
    </row>
    <row r="13" spans="1:7">
      <c r="A13" s="10"/>
      <c r="B13" s="10"/>
      <c r="C13" s="10"/>
      <c r="D13" s="10"/>
      <c r="E13" s="10"/>
      <c r="F13" s="10"/>
      <c r="G13" s="10"/>
    </row>
    <row r="14" spans="1:7">
      <c r="A14" s="8"/>
      <c r="B14" s="8"/>
      <c r="C14" s="8"/>
      <c r="D14" s="8"/>
      <c r="E14" s="8"/>
      <c r="F14" s="8"/>
      <c r="G14" s="8"/>
    </row>
    <row r="15" spans="1:7">
      <c r="A15" s="8"/>
      <c r="B15" s="8"/>
      <c r="C15" s="8"/>
      <c r="D15" s="8"/>
      <c r="E15" s="8"/>
      <c r="F15" s="8"/>
      <c r="G15" s="8"/>
    </row>
  </sheetData>
  <mergeCells count="1">
    <mergeCell ref="A1:G1"/>
  </mergeCells>
  <pageMargins left="0.75" right="0.75" top="1" bottom="1" header="0.5" footer="0.5"/>
  <pageSetup paperSize="9" orientation="landscape"/>
  <headerFooter/>
  <tableParts count="1">
    <tablePart r:id="rId1"/>
  </tablePart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U148"/>
  <sheetViews>
    <sheetView showGridLines="0" zoomScale="85" zoomScaleNormal="85" workbookViewId="0">
      <selection activeCell="A1" sqref="A1:D1"/>
    </sheetView>
  </sheetViews>
  <sheetFormatPr defaultColWidth="9" defaultRowHeight="15"/>
  <cols>
    <col min="1" max="1" width="12.4190476190476" customWidth="1"/>
    <col min="2" max="2" width="76.4095238095238" customWidth="1"/>
    <col min="3" max="3" width="28.4190476190476" customWidth="1"/>
    <col min="4" max="4" width="27.4190476190476" customWidth="1"/>
    <col min="5" max="5" width="9" customWidth="1"/>
    <col min="6" max="6" width="32.7142857142857" customWidth="1"/>
    <col min="7" max="7" width="13.0190476190476" customWidth="1"/>
    <col min="8" max="1025" width="9" customWidth="1"/>
  </cols>
  <sheetData>
    <row r="1" spans="1:21">
      <c r="A1" s="301" t="s">
        <v>0</v>
      </c>
      <c r="B1" s="301"/>
      <c r="C1" s="301"/>
      <c r="D1" s="301"/>
      <c r="F1" s="248" t="s">
        <v>1</v>
      </c>
      <c r="G1" s="248"/>
      <c r="H1" s="258"/>
      <c r="I1" s="258"/>
      <c r="J1" s="258"/>
      <c r="K1" s="258"/>
      <c r="L1" s="258"/>
      <c r="M1" s="258"/>
      <c r="N1" s="258"/>
      <c r="O1" s="258"/>
      <c r="P1" s="258"/>
      <c r="Q1" s="258"/>
      <c r="R1" s="258"/>
      <c r="S1" s="258"/>
      <c r="T1" s="258"/>
      <c r="U1" s="258"/>
    </row>
    <row r="2" spans="1:21">
      <c r="A2" s="249" t="s">
        <v>2</v>
      </c>
      <c r="B2" t="s">
        <v>3</v>
      </c>
      <c r="C2" s="249" t="s">
        <v>4</v>
      </c>
      <c r="D2" s="249" t="s">
        <v>5</v>
      </c>
      <c r="F2" s="253" t="s">
        <v>3</v>
      </c>
      <c r="G2" s="253" t="s">
        <v>5</v>
      </c>
      <c r="H2" s="258"/>
      <c r="I2" s="258"/>
      <c r="J2" s="258"/>
      <c r="K2" s="258"/>
      <c r="L2" s="258"/>
      <c r="M2" s="258"/>
      <c r="N2" s="258"/>
      <c r="O2" s="258"/>
      <c r="P2" s="258"/>
      <c r="Q2" s="258"/>
      <c r="R2" s="258"/>
      <c r="S2" s="258"/>
      <c r="T2" s="258"/>
      <c r="U2" s="258"/>
    </row>
    <row r="3" spans="1:21">
      <c r="A3" s="249">
        <v>1</v>
      </c>
      <c r="B3" t="s">
        <v>6</v>
      </c>
      <c r="C3" s="249"/>
      <c r="D3" s="249" t="s">
        <v>7</v>
      </c>
      <c r="F3" t="s">
        <v>8</v>
      </c>
      <c r="G3" s="302">
        <v>0</v>
      </c>
      <c r="H3" s="258"/>
      <c r="I3" s="258"/>
      <c r="J3" s="258"/>
      <c r="K3" s="258"/>
      <c r="L3" s="258"/>
      <c r="M3" s="258"/>
      <c r="N3" s="258"/>
      <c r="O3" s="258"/>
      <c r="P3" s="258"/>
      <c r="Q3" s="258"/>
      <c r="R3" s="258"/>
      <c r="S3" s="258"/>
      <c r="T3" s="258"/>
      <c r="U3" s="258"/>
    </row>
    <row r="4" spans="1:21">
      <c r="A4" s="249">
        <v>2</v>
      </c>
      <c r="B4" t="s">
        <v>9</v>
      </c>
      <c r="C4" s="249"/>
      <c r="D4" s="249" t="s">
        <v>10</v>
      </c>
      <c r="F4" t="s">
        <v>11</v>
      </c>
      <c r="G4" s="302">
        <v>12</v>
      </c>
      <c r="H4" s="258"/>
      <c r="I4" s="258"/>
      <c r="J4" s="258"/>
      <c r="K4" s="258"/>
      <c r="L4" s="258"/>
      <c r="M4" s="258"/>
      <c r="N4" s="258"/>
      <c r="O4" s="258"/>
      <c r="P4" s="258"/>
      <c r="Q4" s="258"/>
      <c r="R4" s="258"/>
      <c r="S4" s="258"/>
      <c r="T4" s="258"/>
      <c r="U4" s="258"/>
    </row>
    <row r="5" spans="1:21">
      <c r="A5" s="249">
        <v>3</v>
      </c>
      <c r="B5" t="s">
        <v>12</v>
      </c>
      <c r="C5" s="249" t="s">
        <v>13</v>
      </c>
      <c r="D5" s="303">
        <v>998</v>
      </c>
      <c r="F5" t="s">
        <v>14</v>
      </c>
      <c r="G5" s="250">
        <v>22</v>
      </c>
      <c r="H5" s="258"/>
      <c r="I5" s="258"/>
      <c r="J5" s="258"/>
      <c r="K5" s="258"/>
      <c r="L5" s="258"/>
      <c r="M5" s="258"/>
      <c r="N5" s="258"/>
      <c r="O5" s="258"/>
      <c r="P5" s="258"/>
      <c r="Q5" s="258"/>
      <c r="R5" s="258"/>
      <c r="S5" s="258"/>
      <c r="T5" s="258"/>
      <c r="U5" s="258"/>
    </row>
    <row r="6" spans="1:21">
      <c r="A6" s="249">
        <v>4</v>
      </c>
      <c r="B6" t="s">
        <v>15</v>
      </c>
      <c r="C6" s="249" t="s">
        <v>16</v>
      </c>
      <c r="D6" s="249" t="s">
        <v>17</v>
      </c>
      <c r="F6" t="s">
        <v>18</v>
      </c>
      <c r="G6" s="304">
        <v>0.03</v>
      </c>
      <c r="H6" s="258"/>
      <c r="I6" s="258"/>
      <c r="J6" s="258"/>
      <c r="K6" s="258"/>
      <c r="L6" s="258"/>
      <c r="M6" s="258"/>
      <c r="N6" s="258"/>
      <c r="O6" s="258"/>
      <c r="P6" s="258"/>
      <c r="Q6" s="258"/>
      <c r="R6" s="258"/>
      <c r="S6" s="258"/>
      <c r="T6" s="258"/>
      <c r="U6" s="258"/>
    </row>
    <row r="7" spans="1:21">
      <c r="A7" s="249">
        <v>5</v>
      </c>
      <c r="B7" t="s">
        <v>19</v>
      </c>
      <c r="C7" s="249"/>
      <c r="D7" s="249" t="s">
        <v>20</v>
      </c>
      <c r="H7" s="258"/>
      <c r="I7" s="258"/>
      <c r="J7" s="258"/>
      <c r="K7" s="258"/>
      <c r="L7" s="258"/>
      <c r="M7" s="258"/>
      <c r="N7" s="258"/>
      <c r="O7" s="258"/>
      <c r="P7" s="258"/>
      <c r="Q7" s="258"/>
      <c r="R7" s="258"/>
      <c r="S7" s="258"/>
      <c r="T7" s="258"/>
      <c r="U7" s="258"/>
    </row>
    <row r="8" spans="6:21">
      <c r="F8" s="248" t="s">
        <v>21</v>
      </c>
      <c r="G8" s="248"/>
      <c r="H8" s="258"/>
      <c r="I8" s="258"/>
      <c r="J8" s="258"/>
      <c r="K8" s="258"/>
      <c r="L8" s="258"/>
      <c r="M8" s="258"/>
      <c r="N8" s="258"/>
      <c r="O8" s="258"/>
      <c r="P8" s="258"/>
      <c r="Q8" s="258"/>
      <c r="R8" s="258"/>
      <c r="S8" s="258"/>
      <c r="T8" s="258"/>
      <c r="U8" s="258"/>
    </row>
    <row r="9" spans="1:21">
      <c r="A9" s="232" t="s">
        <v>22</v>
      </c>
      <c r="B9" s="232"/>
      <c r="C9" s="232"/>
      <c r="D9" s="232"/>
      <c r="F9" s="253" t="s">
        <v>23</v>
      </c>
      <c r="G9" s="253" t="s">
        <v>24</v>
      </c>
      <c r="H9" s="258"/>
      <c r="I9" s="258"/>
      <c r="J9" s="258"/>
      <c r="K9" s="258"/>
      <c r="L9" s="258"/>
      <c r="M9" s="258"/>
      <c r="N9" s="258"/>
      <c r="O9" s="258"/>
      <c r="P9" s="258"/>
      <c r="Q9" s="258"/>
      <c r="R9" s="258"/>
      <c r="S9" s="258"/>
      <c r="T9" s="258"/>
      <c r="U9" s="258"/>
    </row>
    <row r="10" spans="1:21">
      <c r="A10" s="249" t="s">
        <v>25</v>
      </c>
      <c r="B10" s="253" t="s">
        <v>26</v>
      </c>
      <c r="C10" s="249" t="s">
        <v>4</v>
      </c>
      <c r="D10" s="249" t="s">
        <v>5</v>
      </c>
      <c r="F10" t="s">
        <v>27</v>
      </c>
      <c r="G10" s="254">
        <v>0.4337</v>
      </c>
      <c r="H10" s="258"/>
      <c r="I10" s="258"/>
      <c r="J10" s="258"/>
      <c r="K10" s="258"/>
      <c r="L10" s="258"/>
      <c r="M10" s="258"/>
      <c r="N10" s="258"/>
      <c r="O10" s="258"/>
      <c r="P10" s="258"/>
      <c r="Q10" s="258"/>
      <c r="R10" s="258"/>
      <c r="S10" s="258"/>
      <c r="T10" s="258"/>
      <c r="U10" s="258"/>
    </row>
    <row r="11" spans="1:21">
      <c r="A11" s="249" t="s">
        <v>28</v>
      </c>
      <c r="B11" t="s">
        <v>29</v>
      </c>
      <c r="C11" s="249"/>
      <c r="D11" s="255">
        <f>Salário_Normativo_da_Categoria_Profissional</f>
        <v>998</v>
      </c>
      <c r="F11" t="s">
        <v>30</v>
      </c>
      <c r="G11" s="254">
        <v>0.4337</v>
      </c>
      <c r="H11" s="258"/>
      <c r="I11" s="258"/>
      <c r="J11" s="258"/>
      <c r="K11" s="258"/>
      <c r="L11" s="258"/>
      <c r="M11" s="258"/>
      <c r="N11" s="258"/>
      <c r="O11" s="258"/>
      <c r="P11" s="258"/>
      <c r="Q11" s="258"/>
      <c r="R11" s="258"/>
      <c r="S11" s="258"/>
      <c r="T11" s="258"/>
      <c r="U11" s="258"/>
    </row>
    <row r="12" spans="1:21">
      <c r="A12" s="249" t="s">
        <v>31</v>
      </c>
      <c r="B12" t="s">
        <v>32</v>
      </c>
      <c r="C12" s="249"/>
      <c r="D12" s="255"/>
      <c r="F12" t="s">
        <v>33</v>
      </c>
      <c r="G12" s="254">
        <v>0.0218</v>
      </c>
      <c r="H12" s="258"/>
      <c r="I12" s="258"/>
      <c r="J12" s="258"/>
      <c r="K12" s="258"/>
      <c r="L12" s="258"/>
      <c r="M12" s="258"/>
      <c r="N12" s="258"/>
      <c r="O12" s="258"/>
      <c r="P12" s="258"/>
      <c r="Q12" s="258"/>
      <c r="R12" s="258"/>
      <c r="S12" s="258"/>
      <c r="T12" s="258"/>
      <c r="U12" s="258"/>
    </row>
    <row r="13" spans="1:21">
      <c r="A13" s="249" t="s">
        <v>34</v>
      </c>
      <c r="B13" t="s">
        <v>35</v>
      </c>
      <c r="C13" s="249"/>
      <c r="D13" s="255"/>
      <c r="H13" s="258"/>
      <c r="I13" s="258"/>
      <c r="J13" s="258"/>
      <c r="K13" s="258"/>
      <c r="L13" s="258"/>
      <c r="M13" s="258"/>
      <c r="N13" s="258"/>
      <c r="O13" s="258"/>
      <c r="P13" s="258"/>
      <c r="Q13" s="258"/>
      <c r="R13" s="258"/>
      <c r="S13" s="258"/>
      <c r="T13" s="258"/>
      <c r="U13" s="258"/>
    </row>
    <row r="14" spans="1:21">
      <c r="A14" s="249" t="s">
        <v>36</v>
      </c>
      <c r="B14" t="s">
        <v>37</v>
      </c>
      <c r="C14" s="249"/>
      <c r="D14" s="255"/>
      <c r="F14" s="248" t="s">
        <v>38</v>
      </c>
      <c r="G14" s="248"/>
      <c r="H14" s="258"/>
      <c r="I14" s="258"/>
      <c r="J14" s="258"/>
      <c r="K14" s="258"/>
      <c r="L14" s="258"/>
      <c r="M14" s="258"/>
      <c r="N14" s="258"/>
      <c r="O14" s="258"/>
      <c r="P14" s="258"/>
      <c r="Q14" s="258"/>
      <c r="R14" s="258"/>
      <c r="S14" s="258"/>
      <c r="T14" s="258"/>
      <c r="U14" s="258"/>
    </row>
    <row r="15" spans="1:21">
      <c r="A15" s="249" t="s">
        <v>39</v>
      </c>
      <c r="B15" t="s">
        <v>40</v>
      </c>
      <c r="C15" s="249"/>
      <c r="D15" s="255"/>
      <c r="F15" s="305" t="s">
        <v>3</v>
      </c>
      <c r="G15" s="305" t="s">
        <v>24</v>
      </c>
      <c r="H15" s="258"/>
      <c r="I15" s="258"/>
      <c r="J15" s="258"/>
      <c r="K15" s="258"/>
      <c r="L15" s="258"/>
      <c r="M15" s="258"/>
      <c r="N15" s="258"/>
      <c r="O15" s="258"/>
      <c r="P15" s="258"/>
      <c r="Q15" s="258"/>
      <c r="R15" s="258"/>
      <c r="S15" s="258"/>
      <c r="T15" s="258"/>
      <c r="U15" s="258"/>
    </row>
    <row r="16" spans="1:21">
      <c r="A16" s="249" t="s">
        <v>41</v>
      </c>
      <c r="B16" t="s">
        <v>42</v>
      </c>
      <c r="C16" s="249"/>
      <c r="D16" s="255"/>
      <c r="F16" s="258" t="s">
        <v>43</v>
      </c>
      <c r="G16" s="306">
        <v>0.0471</v>
      </c>
      <c r="H16" s="258"/>
      <c r="I16" s="258"/>
      <c r="J16" s="258"/>
      <c r="K16" s="258"/>
      <c r="L16" s="258"/>
      <c r="M16" s="258"/>
      <c r="N16" s="258"/>
      <c r="O16" s="258"/>
      <c r="P16" s="258"/>
      <c r="Q16" s="258"/>
      <c r="R16" s="258"/>
      <c r="S16" s="258"/>
      <c r="T16" s="258"/>
      <c r="U16" s="258"/>
    </row>
    <row r="17" spans="1:21">
      <c r="A17" s="249" t="s">
        <v>44</v>
      </c>
      <c r="C17" s="249"/>
      <c r="D17" s="255">
        <v>998</v>
      </c>
      <c r="F17" s="258" t="s">
        <v>45</v>
      </c>
      <c r="G17" s="306">
        <v>0.0467</v>
      </c>
      <c r="H17" s="258"/>
      <c r="I17" s="258"/>
      <c r="J17" s="258"/>
      <c r="K17" s="258"/>
      <c r="L17" s="258"/>
      <c r="M17" s="258"/>
      <c r="N17" s="258"/>
      <c r="O17" s="258"/>
      <c r="P17" s="258"/>
      <c r="Q17" s="258"/>
      <c r="R17" s="258"/>
      <c r="S17" s="258"/>
      <c r="T17" s="258"/>
      <c r="U17" s="258"/>
    </row>
    <row r="18" spans="6:21">
      <c r="F18" s="258" t="s">
        <v>46</v>
      </c>
      <c r="G18" s="307">
        <v>0.0165</v>
      </c>
      <c r="H18" s="258"/>
      <c r="I18" s="258"/>
      <c r="J18" s="258"/>
      <c r="K18" s="258"/>
      <c r="L18" s="258"/>
      <c r="M18" s="258"/>
      <c r="N18" s="258"/>
      <c r="O18" s="258"/>
      <c r="P18" s="258"/>
      <c r="Q18" s="258"/>
      <c r="R18" s="258"/>
      <c r="S18" s="258"/>
      <c r="T18" s="258"/>
      <c r="U18" s="258"/>
    </row>
    <row r="19" spans="1:21">
      <c r="A19" s="256" t="s">
        <v>47</v>
      </c>
      <c r="B19" s="256"/>
      <c r="C19" s="256"/>
      <c r="D19" s="256"/>
      <c r="F19" s="258" t="s">
        <v>48</v>
      </c>
      <c r="G19" s="307">
        <v>0.076</v>
      </c>
      <c r="H19" s="258"/>
      <c r="I19" s="258"/>
      <c r="J19" s="258"/>
      <c r="K19" s="258"/>
      <c r="L19" s="258"/>
      <c r="M19" s="258"/>
      <c r="N19" s="258"/>
      <c r="O19" s="258"/>
      <c r="P19" s="258"/>
      <c r="Q19" s="258"/>
      <c r="R19" s="258"/>
      <c r="S19" s="258"/>
      <c r="T19" s="258"/>
      <c r="U19" s="258"/>
    </row>
    <row r="20" spans="1:21">
      <c r="A20" s="248" t="s">
        <v>49</v>
      </c>
      <c r="B20" s="248"/>
      <c r="C20" s="248"/>
      <c r="D20" s="248"/>
      <c r="F20" s="258" t="s">
        <v>50</v>
      </c>
      <c r="G20" s="307">
        <v>0.05</v>
      </c>
      <c r="H20" s="258"/>
      <c r="I20" s="258"/>
      <c r="J20" s="258"/>
      <c r="K20" s="258"/>
      <c r="L20" s="258"/>
      <c r="M20" s="258"/>
      <c r="N20" s="258"/>
      <c r="O20" s="258"/>
      <c r="P20" s="258"/>
      <c r="Q20" s="258"/>
      <c r="R20" s="258"/>
      <c r="S20" s="258"/>
      <c r="T20" s="258"/>
      <c r="U20" s="258"/>
    </row>
    <row r="21" spans="1:21">
      <c r="A21" s="249" t="s">
        <v>51</v>
      </c>
      <c r="B21" s="253" t="s">
        <v>52</v>
      </c>
      <c r="C21" s="249" t="s">
        <v>4</v>
      </c>
      <c r="D21" s="249" t="s">
        <v>5</v>
      </c>
      <c r="F21" s="258"/>
      <c r="G21" s="258"/>
      <c r="H21" s="258"/>
      <c r="I21" s="258"/>
      <c r="J21" s="258"/>
      <c r="K21" s="258"/>
      <c r="L21" s="258"/>
      <c r="M21" s="258"/>
      <c r="N21" s="258"/>
      <c r="O21" s="258"/>
      <c r="P21" s="258"/>
      <c r="Q21" s="258"/>
      <c r="R21" s="258"/>
      <c r="S21" s="258"/>
      <c r="T21" s="258"/>
      <c r="U21" s="258"/>
    </row>
    <row r="22" spans="1:21">
      <c r="A22" s="249" t="s">
        <v>28</v>
      </c>
      <c r="B22" t="s">
        <v>53</v>
      </c>
      <c r="D22" s="255">
        <v>83.1666666666667</v>
      </c>
      <c r="F22" s="258"/>
      <c r="G22" s="258"/>
      <c r="H22" s="258"/>
      <c r="I22" s="258"/>
      <c r="J22" s="258"/>
      <c r="K22" s="258"/>
      <c r="L22" s="258"/>
      <c r="M22" s="258"/>
      <c r="N22" s="258"/>
      <c r="O22" s="258"/>
      <c r="P22" s="258"/>
      <c r="Q22" s="258"/>
      <c r="R22" s="258"/>
      <c r="S22" s="258"/>
      <c r="T22" s="258"/>
      <c r="U22" s="258"/>
    </row>
    <row r="23" spans="1:21">
      <c r="A23" s="249" t="s">
        <v>31</v>
      </c>
      <c r="B23" t="s">
        <v>54</v>
      </c>
      <c r="D23" s="255">
        <v>110.888888888889</v>
      </c>
      <c r="F23" s="258"/>
      <c r="G23" s="258"/>
      <c r="H23" s="258"/>
      <c r="I23" s="258"/>
      <c r="J23" s="258"/>
      <c r="K23" s="258"/>
      <c r="L23" s="258"/>
      <c r="M23" s="258"/>
      <c r="N23" s="258"/>
      <c r="O23" s="258"/>
      <c r="P23" s="258"/>
      <c r="Q23" s="258"/>
      <c r="R23" s="258"/>
      <c r="S23" s="258"/>
      <c r="T23" s="258"/>
      <c r="U23" s="258"/>
    </row>
    <row r="24" spans="1:21">
      <c r="A24" s="249" t="s">
        <v>44</v>
      </c>
      <c r="D24" s="255">
        <v>194.055555555556</v>
      </c>
      <c r="F24" s="258"/>
      <c r="G24" s="258"/>
      <c r="H24" s="258"/>
      <c r="I24" s="258"/>
      <c r="J24" s="258"/>
      <c r="K24" s="258"/>
      <c r="L24" s="258"/>
      <c r="M24" s="258"/>
      <c r="N24" s="258"/>
      <c r="O24" s="258"/>
      <c r="P24" s="258"/>
      <c r="Q24" s="258"/>
      <c r="R24" s="258"/>
      <c r="S24" s="258"/>
      <c r="T24" s="258"/>
      <c r="U24" s="258"/>
    </row>
    <row r="25" spans="1:21">
      <c r="A25" s="249"/>
      <c r="D25" s="255"/>
      <c r="F25" s="258"/>
      <c r="G25" s="258"/>
      <c r="H25" s="258"/>
      <c r="I25" s="258"/>
      <c r="J25" s="258"/>
      <c r="K25" s="258"/>
      <c r="L25" s="258"/>
      <c r="M25" s="258"/>
      <c r="N25" s="258"/>
      <c r="O25" s="258"/>
      <c r="P25" s="258"/>
      <c r="Q25" s="258"/>
      <c r="R25" s="258"/>
      <c r="S25" s="258"/>
      <c r="T25" s="258"/>
      <c r="U25" s="258"/>
    </row>
    <row r="26" spans="1:21">
      <c r="A26" s="308" t="s">
        <v>55</v>
      </c>
      <c r="B26" s="308"/>
      <c r="C26" s="308"/>
      <c r="D26" s="308"/>
      <c r="F26" s="258"/>
      <c r="G26" s="258"/>
      <c r="H26" s="258"/>
      <c r="I26" s="258"/>
      <c r="J26" s="258"/>
      <c r="K26" s="258"/>
      <c r="L26" s="258"/>
      <c r="M26" s="258"/>
      <c r="N26" s="258"/>
      <c r="O26" s="258"/>
      <c r="P26" s="258"/>
      <c r="Q26" s="258"/>
      <c r="R26" s="258"/>
      <c r="S26" s="258"/>
      <c r="T26" s="258"/>
      <c r="U26" s="258"/>
    </row>
    <row r="27" spans="1:21">
      <c r="A27" s="308" t="s">
        <v>2</v>
      </c>
      <c r="B27" s="308" t="s">
        <v>56</v>
      </c>
      <c r="C27" s="308" t="s">
        <v>57</v>
      </c>
      <c r="D27" s="309" t="s">
        <v>58</v>
      </c>
      <c r="F27" s="258"/>
      <c r="G27" s="258"/>
      <c r="H27" s="258"/>
      <c r="I27" s="258"/>
      <c r="J27" s="258"/>
      <c r="K27" s="258"/>
      <c r="L27" s="258"/>
      <c r="M27" s="258"/>
      <c r="N27" s="258"/>
      <c r="O27" s="258"/>
      <c r="P27" s="258"/>
      <c r="Q27" s="258"/>
      <c r="R27" s="258"/>
      <c r="S27" s="258"/>
      <c r="T27" s="258"/>
      <c r="U27" s="258"/>
    </row>
    <row r="28" ht="30" spans="1:21">
      <c r="A28" s="267" t="s">
        <v>28</v>
      </c>
      <c r="B28" s="310" t="s">
        <v>59</v>
      </c>
      <c r="C28" s="311" t="s">
        <v>60</v>
      </c>
      <c r="D28" s="310" t="s">
        <v>61</v>
      </c>
      <c r="F28" s="258"/>
      <c r="G28" s="258"/>
      <c r="H28" s="258"/>
      <c r="I28" s="258"/>
      <c r="J28" s="258"/>
      <c r="K28" s="258"/>
      <c r="L28" s="258"/>
      <c r="M28" s="258"/>
      <c r="N28" s="258"/>
      <c r="O28" s="258"/>
      <c r="P28" s="258"/>
      <c r="Q28" s="258"/>
      <c r="R28" s="258"/>
      <c r="S28" s="258"/>
      <c r="T28" s="258"/>
      <c r="U28" s="258"/>
    </row>
    <row r="29" ht="30" spans="1:21">
      <c r="A29" s="267" t="s">
        <v>31</v>
      </c>
      <c r="B29" s="312" t="s">
        <v>54</v>
      </c>
      <c r="C29" s="311" t="s">
        <v>60</v>
      </c>
      <c r="D29" s="310" t="s">
        <v>62</v>
      </c>
      <c r="F29" s="258"/>
      <c r="G29" s="258"/>
      <c r="H29" s="258"/>
      <c r="I29" s="258"/>
      <c r="J29" s="258"/>
      <c r="K29" s="258"/>
      <c r="L29" s="258"/>
      <c r="M29" s="258"/>
      <c r="N29" s="258"/>
      <c r="O29" s="258"/>
      <c r="P29" s="258"/>
      <c r="Q29" s="258"/>
      <c r="R29" s="258"/>
      <c r="S29" s="258"/>
      <c r="T29" s="258"/>
      <c r="U29" s="258"/>
    </row>
    <row r="30" spans="1:21">
      <c r="A30" s="249"/>
      <c r="B30" s="249"/>
      <c r="C30" s="277"/>
      <c r="F30" s="258"/>
      <c r="G30" s="258"/>
      <c r="H30" s="258"/>
      <c r="I30" s="258"/>
      <c r="J30" s="258"/>
      <c r="K30" s="258"/>
      <c r="L30" s="258"/>
      <c r="M30" s="258"/>
      <c r="N30" s="258"/>
      <c r="O30" s="258"/>
      <c r="P30" s="258"/>
      <c r="Q30" s="258"/>
      <c r="R30" s="258"/>
      <c r="S30" s="258"/>
      <c r="T30" s="258"/>
      <c r="U30" s="258"/>
    </row>
    <row r="31" spans="1:4">
      <c r="A31" s="248" t="s">
        <v>63</v>
      </c>
      <c r="B31" s="248"/>
      <c r="C31" s="248"/>
      <c r="D31" s="248"/>
    </row>
    <row r="32" spans="1:4">
      <c r="A32" s="249" t="s">
        <v>64</v>
      </c>
      <c r="B32" s="253" t="s">
        <v>65</v>
      </c>
      <c r="C32" s="249" t="s">
        <v>24</v>
      </c>
      <c r="D32" s="249" t="s">
        <v>66</v>
      </c>
    </row>
    <row r="33" spans="1:4">
      <c r="A33" s="249" t="s">
        <v>28</v>
      </c>
      <c r="B33" t="s">
        <v>67</v>
      </c>
      <c r="C33" s="257">
        <v>0.2</v>
      </c>
      <c r="D33" s="255">
        <v>238.411111111111</v>
      </c>
    </row>
    <row r="34" spans="1:4">
      <c r="A34" s="249" t="s">
        <v>31</v>
      </c>
      <c r="B34" t="s">
        <v>68</v>
      </c>
      <c r="C34" s="257">
        <v>0.025</v>
      </c>
      <c r="D34" s="255">
        <v>29.8013888888889</v>
      </c>
    </row>
    <row r="35" spans="1:4">
      <c r="A35" s="249" t="s">
        <v>34</v>
      </c>
      <c r="B35" t="s">
        <v>69</v>
      </c>
      <c r="C35" s="257">
        <f>Servente!G6</f>
        <v>0.03</v>
      </c>
      <c r="D35" s="255">
        <v>35.7616666666667</v>
      </c>
    </row>
    <row r="36" spans="1:4">
      <c r="A36" s="249" t="s">
        <v>36</v>
      </c>
      <c r="B36" t="s">
        <v>70</v>
      </c>
      <c r="C36" s="257">
        <v>0.015</v>
      </c>
      <c r="D36" s="255">
        <v>17.8808333333333</v>
      </c>
    </row>
    <row r="37" spans="1:4">
      <c r="A37" s="249" t="s">
        <v>39</v>
      </c>
      <c r="B37" t="s">
        <v>71</v>
      </c>
      <c r="C37" s="257">
        <v>0.01</v>
      </c>
      <c r="D37" s="255">
        <v>11.9205555555556</v>
      </c>
    </row>
    <row r="38" spans="1:4">
      <c r="A38" s="249" t="s">
        <v>41</v>
      </c>
      <c r="B38" t="s">
        <v>72</v>
      </c>
      <c r="C38" s="257">
        <v>0.006</v>
      </c>
      <c r="D38" s="255">
        <v>7.15233333333333</v>
      </c>
    </row>
    <row r="39" spans="1:4">
      <c r="A39" s="249" t="s">
        <v>73</v>
      </c>
      <c r="B39" t="s">
        <v>74</v>
      </c>
      <c r="C39" s="257">
        <v>0.002</v>
      </c>
      <c r="D39" s="255">
        <v>2.38411111111111</v>
      </c>
    </row>
    <row r="40" spans="1:4">
      <c r="A40" s="249" t="s">
        <v>75</v>
      </c>
      <c r="B40" t="s">
        <v>76</v>
      </c>
      <c r="C40" s="257">
        <v>0.08</v>
      </c>
      <c r="D40" s="255">
        <v>95.3644444444445</v>
      </c>
    </row>
    <row r="41" spans="1:4">
      <c r="A41" s="249" t="s">
        <v>44</v>
      </c>
      <c r="C41" s="264">
        <f>SUBTOTAL(109,Submódulo2.2[Percentual])</f>
        <v>0.368</v>
      </c>
      <c r="D41" s="255">
        <f>SUBTOTAL(109,Submódulo2.2[Valor ])</f>
        <v>438.676444444444</v>
      </c>
    </row>
    <row r="42" spans="1:4">
      <c r="A42" s="249"/>
      <c r="C42" s="264"/>
      <c r="D42" s="255"/>
    </row>
    <row r="43" spans="1:4">
      <c r="A43" s="308" t="s">
        <v>77</v>
      </c>
      <c r="B43" s="308"/>
      <c r="C43" s="308"/>
      <c r="D43" s="308"/>
    </row>
    <row r="44" spans="1:4">
      <c r="A44" s="308" t="s">
        <v>2</v>
      </c>
      <c r="B44" s="308" t="s">
        <v>56</v>
      </c>
      <c r="C44" s="308" t="s">
        <v>57</v>
      </c>
      <c r="D44" s="309" t="s">
        <v>58</v>
      </c>
    </row>
    <row r="45" ht="30" spans="1:4">
      <c r="A45" s="267" t="s">
        <v>78</v>
      </c>
      <c r="B45" s="310" t="s">
        <v>65</v>
      </c>
      <c r="C45" s="310" t="s">
        <v>79</v>
      </c>
      <c r="D45" s="310" t="s">
        <v>80</v>
      </c>
    </row>
    <row r="47" spans="1:4">
      <c r="A47" s="248" t="s">
        <v>81</v>
      </c>
      <c r="B47" s="248"/>
      <c r="C47" s="248"/>
      <c r="D47" s="248"/>
    </row>
    <row r="48" spans="1:4">
      <c r="A48" s="249" t="s">
        <v>82</v>
      </c>
      <c r="B48" s="253" t="s">
        <v>83</v>
      </c>
      <c r="C48" s="249" t="s">
        <v>4</v>
      </c>
      <c r="D48" s="249" t="s">
        <v>5</v>
      </c>
    </row>
    <row r="49" spans="1:4">
      <c r="A49" s="249" t="s">
        <v>28</v>
      </c>
      <c r="B49" t="s">
        <v>84</v>
      </c>
      <c r="D49" s="255">
        <f>IF(G3=0,0,(Servente!G3*2*Servente!G5)-(6%*_1A))</f>
        <v>0</v>
      </c>
    </row>
    <row r="50" spans="1:4">
      <c r="A50" s="249" t="s">
        <v>31</v>
      </c>
      <c r="B50" t="s">
        <v>85</v>
      </c>
      <c r="D50" s="255">
        <f>(Servente!G4*Servente!G5)*80%</f>
        <v>211.2</v>
      </c>
    </row>
    <row r="51" spans="1:4">
      <c r="A51" s="249" t="s">
        <v>34</v>
      </c>
      <c r="B51" t="s">
        <v>86</v>
      </c>
      <c r="D51" s="255"/>
    </row>
    <row r="52" spans="1:4">
      <c r="A52" s="249" t="s">
        <v>36</v>
      </c>
      <c r="B52" t="s">
        <v>42</v>
      </c>
      <c r="D52" s="255"/>
    </row>
    <row r="53" spans="1:4">
      <c r="A53" s="249" t="s">
        <v>44</v>
      </c>
      <c r="D53" s="255">
        <v>211.2</v>
      </c>
    </row>
    <row r="54" spans="1:4">
      <c r="A54" s="249"/>
      <c r="D54" s="255"/>
    </row>
    <row r="55" spans="1:4">
      <c r="A55" s="308" t="s">
        <v>87</v>
      </c>
      <c r="B55" s="308"/>
      <c r="C55" s="308"/>
      <c r="D55" s="308"/>
    </row>
    <row r="56" spans="1:4">
      <c r="A56" s="308" t="s">
        <v>2</v>
      </c>
      <c r="B56" s="308" t="s">
        <v>56</v>
      </c>
      <c r="C56" s="308" t="s">
        <v>57</v>
      </c>
      <c r="D56" s="308" t="s">
        <v>58</v>
      </c>
    </row>
    <row r="57" ht="45" spans="1:4">
      <c r="A57" s="267" t="s">
        <v>28</v>
      </c>
      <c r="B57" s="310" t="s">
        <v>84</v>
      </c>
      <c r="C57" s="311" t="s">
        <v>88</v>
      </c>
      <c r="D57" s="311" t="s">
        <v>89</v>
      </c>
    </row>
    <row r="58" ht="30" spans="1:4">
      <c r="A58" s="267" t="s">
        <v>31</v>
      </c>
      <c r="B58" s="312" t="s">
        <v>85</v>
      </c>
      <c r="C58" s="311" t="s">
        <v>88</v>
      </c>
      <c r="D58" s="311" t="s">
        <v>90</v>
      </c>
    </row>
    <row r="59" ht="19.5" customHeight="1" spans="1:4">
      <c r="A59" s="249"/>
      <c r="D59" s="255"/>
    </row>
    <row r="60" spans="1:4">
      <c r="A60" s="248" t="s">
        <v>91</v>
      </c>
      <c r="B60" s="248"/>
      <c r="C60" s="248"/>
      <c r="D60" s="248"/>
    </row>
    <row r="61" spans="1:4">
      <c r="A61" s="249" t="s">
        <v>92</v>
      </c>
      <c r="B61" s="253" t="s">
        <v>93</v>
      </c>
      <c r="C61" s="249" t="s">
        <v>4</v>
      </c>
      <c r="D61" s="249" t="s">
        <v>5</v>
      </c>
    </row>
    <row r="62" spans="1:4">
      <c r="A62" s="249" t="s">
        <v>51</v>
      </c>
      <c r="B62" t="s">
        <v>52</v>
      </c>
      <c r="C62" s="249"/>
      <c r="D62" s="255">
        <v>194.055555555556</v>
      </c>
    </row>
    <row r="63" spans="1:4">
      <c r="A63" s="249" t="s">
        <v>64</v>
      </c>
      <c r="B63" t="s">
        <v>65</v>
      </c>
      <c r="C63" s="249"/>
      <c r="D63" s="255">
        <f>Submódulo2.2[[#Totals],[Valor ]]</f>
        <v>438.676444444444</v>
      </c>
    </row>
    <row r="64" spans="1:4">
      <c r="A64" s="249" t="s">
        <v>82</v>
      </c>
      <c r="B64" t="s">
        <v>83</v>
      </c>
      <c r="C64" s="249"/>
      <c r="D64" s="255">
        <f>Submódulo2.3[[#Totals],[Valor]]</f>
        <v>211.2</v>
      </c>
    </row>
    <row r="65" spans="1:4">
      <c r="A65" s="249" t="s">
        <v>44</v>
      </c>
      <c r="C65" s="249"/>
      <c r="D65" s="255">
        <v>843.932</v>
      </c>
    </row>
    <row r="67" spans="1:4">
      <c r="A67" s="232" t="s">
        <v>94</v>
      </c>
      <c r="B67" s="232"/>
      <c r="C67" s="232"/>
      <c r="D67" s="232"/>
    </row>
    <row r="68" spans="1:4">
      <c r="A68" s="249" t="s">
        <v>95</v>
      </c>
      <c r="B68" s="253" t="s">
        <v>96</v>
      </c>
      <c r="C68" s="249" t="s">
        <v>4</v>
      </c>
      <c r="D68" s="249" t="s">
        <v>5</v>
      </c>
    </row>
    <row r="69" spans="1:4">
      <c r="A69" s="249" t="s">
        <v>28</v>
      </c>
      <c r="B69" t="s">
        <v>97</v>
      </c>
      <c r="D69" s="255">
        <v>50.715994537037</v>
      </c>
    </row>
    <row r="70" spans="1:4">
      <c r="A70" s="249" t="s">
        <v>31</v>
      </c>
      <c r="B70" t="s">
        <v>98</v>
      </c>
      <c r="D70" s="255">
        <f>(D40/12)*Servente!G10</f>
        <v>3.44662996296296</v>
      </c>
    </row>
    <row r="71" spans="1:4">
      <c r="A71" s="249" t="s">
        <v>34</v>
      </c>
      <c r="B71" t="s">
        <v>99</v>
      </c>
      <c r="D71" s="255">
        <f>D40*50%*Servente!G10</f>
        <v>20.6797797777778</v>
      </c>
    </row>
    <row r="72" spans="1:4">
      <c r="A72" s="249" t="s">
        <v>36</v>
      </c>
      <c r="B72" t="s">
        <v>100</v>
      </c>
      <c r="D72" s="255">
        <v>66.5704923666667</v>
      </c>
    </row>
    <row r="73" spans="1:4">
      <c r="A73" s="249" t="s">
        <v>39</v>
      </c>
      <c r="B73" t="s">
        <v>101</v>
      </c>
      <c r="D73" s="255">
        <f>D40*50%*Servente!G11</f>
        <v>20.6797797777778</v>
      </c>
    </row>
    <row r="74" spans="1:4">
      <c r="A74" s="249" t="s">
        <v>41</v>
      </c>
      <c r="B74" t="s">
        <v>102</v>
      </c>
      <c r="D74" s="255">
        <f>-D62*Servente!G12</f>
        <v>-4.23041111111111</v>
      </c>
    </row>
    <row r="75" spans="1:4">
      <c r="A75" s="249" t="s">
        <v>44</v>
      </c>
      <c r="D75" s="255">
        <v>157.862265311111</v>
      </c>
    </row>
    <row r="76" spans="1:4">
      <c r="A76" s="249"/>
      <c r="D76" s="255"/>
    </row>
    <row r="77" spans="1:4">
      <c r="A77" s="308" t="s">
        <v>103</v>
      </c>
      <c r="B77" s="308"/>
      <c r="C77" s="308"/>
      <c r="D77" s="308"/>
    </row>
    <row r="78" spans="1:4">
      <c r="A78" s="308" t="s">
        <v>2</v>
      </c>
      <c r="B78" s="308" t="s">
        <v>56</v>
      </c>
      <c r="C78" s="308" t="s">
        <v>57</v>
      </c>
      <c r="D78" s="308" t="s">
        <v>58</v>
      </c>
    </row>
    <row r="79" ht="60" spans="1:4">
      <c r="A79" s="267" t="s">
        <v>28</v>
      </c>
      <c r="B79" s="310" t="s">
        <v>97</v>
      </c>
      <c r="C79" s="311" t="s">
        <v>104</v>
      </c>
      <c r="D79" s="311" t="s">
        <v>105</v>
      </c>
    </row>
    <row r="80" ht="60" spans="1:4">
      <c r="A80" s="267" t="s">
        <v>31</v>
      </c>
      <c r="B80" s="312" t="s">
        <v>98</v>
      </c>
      <c r="C80" s="311" t="s">
        <v>106</v>
      </c>
      <c r="D80" s="311" t="s">
        <v>105</v>
      </c>
    </row>
    <row r="81" ht="75" spans="1:4">
      <c r="A81" s="267" t="s">
        <v>34</v>
      </c>
      <c r="B81" s="312" t="s">
        <v>99</v>
      </c>
      <c r="C81" s="311" t="s">
        <v>106</v>
      </c>
      <c r="D81" s="313" t="s">
        <v>107</v>
      </c>
    </row>
    <row r="82" ht="60" spans="1:4">
      <c r="A82" s="267" t="s">
        <v>36</v>
      </c>
      <c r="B82" s="268" t="s">
        <v>100</v>
      </c>
      <c r="C82" s="311" t="s">
        <v>108</v>
      </c>
      <c r="D82" s="313" t="s">
        <v>109</v>
      </c>
    </row>
    <row r="83" ht="75" spans="1:4">
      <c r="A83" s="267" t="s">
        <v>39</v>
      </c>
      <c r="B83" s="268" t="s">
        <v>101</v>
      </c>
      <c r="C83" s="311" t="s">
        <v>106</v>
      </c>
      <c r="D83" s="313" t="s">
        <v>110</v>
      </c>
    </row>
    <row r="84" ht="60" spans="1:4">
      <c r="A84" s="267" t="s">
        <v>41</v>
      </c>
      <c r="B84" s="268" t="s">
        <v>102</v>
      </c>
      <c r="C84" s="311" t="s">
        <v>111</v>
      </c>
      <c r="D84" s="313" t="s">
        <v>112</v>
      </c>
    </row>
    <row r="86" customHeight="1" spans="1:4">
      <c r="A86" s="275" t="s">
        <v>113</v>
      </c>
      <c r="B86" s="275"/>
      <c r="C86" s="275"/>
      <c r="D86" s="275"/>
    </row>
    <row r="87" spans="1:4">
      <c r="A87" s="248" t="s">
        <v>114</v>
      </c>
      <c r="B87" s="248"/>
      <c r="C87" s="248"/>
      <c r="D87" s="248"/>
    </row>
    <row r="88" spans="1:4">
      <c r="A88" s="249" t="s">
        <v>115</v>
      </c>
      <c r="B88" s="253" t="s">
        <v>116</v>
      </c>
      <c r="C88" s="249" t="s">
        <v>117</v>
      </c>
      <c r="D88" s="249" t="s">
        <v>5</v>
      </c>
    </row>
    <row r="89" spans="1:4">
      <c r="A89" s="249" t="s">
        <v>28</v>
      </c>
      <c r="B89" t="s">
        <v>118</v>
      </c>
      <c r="C89" s="249">
        <v>20.71</v>
      </c>
      <c r="D89" s="255">
        <v>115.043720096092</v>
      </c>
    </row>
    <row r="90" spans="1:4">
      <c r="A90" s="249" t="s">
        <v>31</v>
      </c>
      <c r="B90" t="s">
        <v>119</v>
      </c>
      <c r="C90" s="249">
        <v>1.4181</v>
      </c>
      <c r="D90" s="255">
        <v>7.87752291010468</v>
      </c>
    </row>
    <row r="91" spans="1:4">
      <c r="A91" s="249" t="s">
        <v>34</v>
      </c>
      <c r="B91" t="s">
        <v>120</v>
      </c>
      <c r="C91" s="249">
        <v>0.1898</v>
      </c>
      <c r="D91" s="255">
        <v>1.05433597654458</v>
      </c>
    </row>
    <row r="92" spans="1:4">
      <c r="A92" s="249" t="s">
        <v>36</v>
      </c>
      <c r="B92" t="s">
        <v>121</v>
      </c>
      <c r="C92" s="249">
        <v>0.9545</v>
      </c>
      <c r="D92" s="255">
        <v>5.3022322951096</v>
      </c>
    </row>
    <row r="93" spans="1:4">
      <c r="A93" s="249" t="s">
        <v>39</v>
      </c>
      <c r="B93" t="s">
        <v>122</v>
      </c>
      <c r="C93" s="249">
        <v>2.4723</v>
      </c>
      <c r="D93" s="255">
        <v>13.7335871170241</v>
      </c>
    </row>
    <row r="94" spans="1:4">
      <c r="A94" s="249" t="s">
        <v>41</v>
      </c>
      <c r="B94" t="s">
        <v>123</v>
      </c>
      <c r="C94" s="249">
        <v>3.4521</v>
      </c>
      <c r="D94" s="255">
        <v>19.1763605091125</v>
      </c>
    </row>
    <row r="95" spans="1:4">
      <c r="A95" s="249" t="s">
        <v>44</v>
      </c>
      <c r="C95" s="249">
        <f>SUBTOTAL(109,Submódulo4.1[Dias de ausência])</f>
        <v>29.1968</v>
      </c>
      <c r="D95" s="255">
        <f>SUBTOTAL(109,Submódulo4.1[Valor])</f>
        <v>162.187758903987</v>
      </c>
    </row>
    <row r="96" spans="1:4">
      <c r="A96" s="249"/>
      <c r="C96" s="249"/>
      <c r="D96" s="255"/>
    </row>
    <row r="97" spans="1:4">
      <c r="A97" s="308" t="s">
        <v>124</v>
      </c>
      <c r="B97" s="308"/>
      <c r="C97" s="308"/>
      <c r="D97" s="308"/>
    </row>
    <row r="98" spans="1:4">
      <c r="A98" s="308" t="s">
        <v>2</v>
      </c>
      <c r="B98" s="308" t="s">
        <v>56</v>
      </c>
      <c r="C98" s="308" t="s">
        <v>57</v>
      </c>
      <c r="D98" s="308" t="s">
        <v>58</v>
      </c>
    </row>
    <row r="99" spans="1:4">
      <c r="A99" s="267" t="s">
        <v>125</v>
      </c>
      <c r="B99" s="310" t="s">
        <v>126</v>
      </c>
      <c r="C99" s="311"/>
      <c r="D99" s="311"/>
    </row>
    <row r="100" ht="45" spans="1:4">
      <c r="A100" s="267" t="s">
        <v>125</v>
      </c>
      <c r="B100" s="312" t="s">
        <v>127</v>
      </c>
      <c r="C100" s="311" t="s">
        <v>128</v>
      </c>
      <c r="D100" s="311" t="s">
        <v>129</v>
      </c>
    </row>
    <row r="101" spans="1:4">
      <c r="A101" s="249"/>
      <c r="C101" s="249"/>
      <c r="D101" s="255"/>
    </row>
    <row r="102" spans="1:4">
      <c r="A102" s="248" t="s">
        <v>130</v>
      </c>
      <c r="B102" s="248"/>
      <c r="C102" s="248"/>
      <c r="D102" s="248"/>
    </row>
    <row r="103" spans="1:4">
      <c r="A103" s="249" t="s">
        <v>131</v>
      </c>
      <c r="B103" s="253" t="s">
        <v>132</v>
      </c>
      <c r="C103" s="249" t="s">
        <v>4</v>
      </c>
      <c r="D103" s="249" t="s">
        <v>5</v>
      </c>
    </row>
    <row r="104" spans="1:4">
      <c r="A104" s="249" t="s">
        <v>28</v>
      </c>
      <c r="B104" t="s">
        <v>133</v>
      </c>
      <c r="C104" s="249"/>
      <c r="D104" s="255"/>
    </row>
    <row r="105" spans="1:4">
      <c r="A105" s="249" t="s">
        <v>44</v>
      </c>
      <c r="C105" s="249"/>
      <c r="D105" s="255">
        <f>SUBTOTAL(109,Submódulo4.2[Valor])</f>
        <v>0</v>
      </c>
    </row>
    <row r="107" spans="1:4">
      <c r="A107" s="248" t="s">
        <v>134</v>
      </c>
      <c r="B107" s="248"/>
      <c r="C107" s="248"/>
      <c r="D107" s="248"/>
    </row>
    <row r="108" spans="1:4">
      <c r="A108" s="249" t="s">
        <v>135</v>
      </c>
      <c r="B108" s="253" t="s">
        <v>136</v>
      </c>
      <c r="C108" s="249" t="s">
        <v>4</v>
      </c>
      <c r="D108" s="249" t="s">
        <v>5</v>
      </c>
    </row>
    <row r="109" spans="1:4">
      <c r="A109" s="249" t="s">
        <v>115</v>
      </c>
      <c r="B109" t="s">
        <v>116</v>
      </c>
      <c r="D109" s="255">
        <f>Submódulo4.1[[#Totals],[Valor]]</f>
        <v>162.187758903987</v>
      </c>
    </row>
    <row r="110" spans="1:4">
      <c r="A110" s="249" t="s">
        <v>131</v>
      </c>
      <c r="B110" t="s">
        <v>137</v>
      </c>
      <c r="D110" s="255">
        <f>Submódulo4.2[[#Totals],[Valor]]</f>
        <v>0</v>
      </c>
    </row>
    <row r="111" spans="1:4">
      <c r="A111" s="249" t="s">
        <v>44</v>
      </c>
      <c r="D111" s="255">
        <v>162.187758903987</v>
      </c>
    </row>
    <row r="113" spans="1:4">
      <c r="A113" s="232" t="s">
        <v>138</v>
      </c>
      <c r="B113" s="232"/>
      <c r="C113" s="232"/>
      <c r="D113" s="232"/>
    </row>
    <row r="114" spans="1:4">
      <c r="A114" s="249" t="s">
        <v>139</v>
      </c>
      <c r="B114" s="253" t="s">
        <v>140</v>
      </c>
      <c r="C114" s="249" t="s">
        <v>4</v>
      </c>
      <c r="D114" s="249" t="s">
        <v>5</v>
      </c>
    </row>
    <row r="115" spans="1:4">
      <c r="A115" s="249" t="s">
        <v>28</v>
      </c>
      <c r="B115" t="s">
        <v>141</v>
      </c>
      <c r="D115" s="255" t="e">
        <f>#REF!</f>
        <v>#REF!</v>
      </c>
    </row>
    <row r="116" spans="1:4">
      <c r="A116" s="249" t="s">
        <v>31</v>
      </c>
      <c r="B116" t="s">
        <v>142</v>
      </c>
      <c r="D116" s="255" t="e">
        <f>#REF!/#REF!</f>
        <v>#REF!</v>
      </c>
    </row>
    <row r="117" spans="1:4">
      <c r="A117" s="249" t="s">
        <v>34</v>
      </c>
      <c r="B117" t="s">
        <v>143</v>
      </c>
      <c r="D117" s="255" t="e">
        <f>#REF!/#REF!</f>
        <v>#REF!</v>
      </c>
    </row>
    <row r="118" spans="1:4">
      <c r="A118" s="249" t="s">
        <v>36</v>
      </c>
      <c r="B118" t="s">
        <v>144</v>
      </c>
      <c r="D118" s="255"/>
    </row>
    <row r="119" spans="1:4">
      <c r="A119" s="249" t="s">
        <v>44</v>
      </c>
      <c r="D119" s="255" t="e">
        <v>#REF!</v>
      </c>
    </row>
    <row r="120" spans="1:4">
      <c r="A120" s="249"/>
      <c r="D120" s="255"/>
    </row>
    <row r="121" spans="1:4">
      <c r="A121" s="308" t="s">
        <v>145</v>
      </c>
      <c r="B121" s="308"/>
      <c r="C121" s="308"/>
      <c r="D121" s="308"/>
    </row>
    <row r="122" spans="1:4">
      <c r="A122" s="308" t="s">
        <v>2</v>
      </c>
      <c r="B122" s="308" t="s">
        <v>56</v>
      </c>
      <c r="C122" s="308" t="s">
        <v>57</v>
      </c>
      <c r="D122" s="308" t="s">
        <v>58</v>
      </c>
    </row>
    <row r="123" spans="1:4">
      <c r="A123" s="267" t="s">
        <v>28</v>
      </c>
      <c r="B123" s="310" t="s">
        <v>141</v>
      </c>
      <c r="C123" s="311" t="s">
        <v>146</v>
      </c>
      <c r="D123" s="311"/>
    </row>
    <row r="124" ht="30" spans="1:4">
      <c r="A124" s="267" t="s">
        <v>31</v>
      </c>
      <c r="B124" s="312" t="s">
        <v>142</v>
      </c>
      <c r="C124" s="311" t="s">
        <v>147</v>
      </c>
      <c r="D124" s="311" t="s">
        <v>148</v>
      </c>
    </row>
    <row r="125" ht="30" spans="1:4">
      <c r="A125" s="267" t="s">
        <v>34</v>
      </c>
      <c r="B125" s="312" t="s">
        <v>143</v>
      </c>
      <c r="C125" s="311" t="s">
        <v>149</v>
      </c>
      <c r="D125" s="311" t="s">
        <v>148</v>
      </c>
    </row>
    <row r="126" spans="1:4">
      <c r="A126" s="267" t="s">
        <v>36</v>
      </c>
      <c r="B126" s="312" t="s">
        <v>144</v>
      </c>
      <c r="C126" s="311"/>
      <c r="D126" s="311"/>
    </row>
    <row r="128" spans="1:4">
      <c r="A128" s="232" t="s">
        <v>150</v>
      </c>
      <c r="B128" s="232"/>
      <c r="C128" s="232"/>
      <c r="D128" s="232"/>
    </row>
    <row r="129" outlineLevel="1" spans="1:4">
      <c r="A129" s="249" t="s">
        <v>151</v>
      </c>
      <c r="B129" t="s">
        <v>152</v>
      </c>
      <c r="C129" s="249" t="s">
        <v>24</v>
      </c>
      <c r="D129" s="249" t="s">
        <v>5</v>
      </c>
    </row>
    <row r="130" outlineLevel="1" spans="1:4">
      <c r="A130" s="249" t="s">
        <v>28</v>
      </c>
      <c r="B130" t="s">
        <v>153</v>
      </c>
      <c r="C130" s="257">
        <f>G16</f>
        <v>0.0471</v>
      </c>
      <c r="D130" s="255" t="e">
        <v>#REF!</v>
      </c>
    </row>
    <row r="131" outlineLevel="1" spans="1:4">
      <c r="A131" s="249" t="s">
        <v>31</v>
      </c>
      <c r="B131" t="s">
        <v>45</v>
      </c>
      <c r="C131" s="257">
        <f>G17</f>
        <v>0.0467</v>
      </c>
      <c r="D131" s="255" t="e">
        <v>#REF!</v>
      </c>
    </row>
    <row r="132" spans="1:4">
      <c r="A132" s="249" t="s">
        <v>34</v>
      </c>
      <c r="B132" t="s">
        <v>154</v>
      </c>
      <c r="C132" s="257">
        <f>SUM(C133:C135)</f>
        <v>0.1425</v>
      </c>
      <c r="D132" s="255" t="e">
        <v>#REF!</v>
      </c>
    </row>
    <row r="133" spans="1:4">
      <c r="A133" s="249" t="s">
        <v>155</v>
      </c>
      <c r="B133" t="s">
        <v>46</v>
      </c>
      <c r="C133" s="257">
        <f>G18</f>
        <v>0.0165</v>
      </c>
      <c r="D133" s="255" t="e">
        <v>#REF!</v>
      </c>
    </row>
    <row r="134" spans="1:4">
      <c r="A134" s="249" t="s">
        <v>156</v>
      </c>
      <c r="B134" t="s">
        <v>48</v>
      </c>
      <c r="C134" s="257">
        <f>G19</f>
        <v>0.076</v>
      </c>
      <c r="D134" s="255" t="e">
        <v>#REF!</v>
      </c>
    </row>
    <row r="135" spans="1:4">
      <c r="A135" s="249" t="s">
        <v>157</v>
      </c>
      <c r="B135" t="s">
        <v>50</v>
      </c>
      <c r="C135" s="257">
        <f>G20</f>
        <v>0.05</v>
      </c>
      <c r="D135" s="255" t="e">
        <v>#REF!</v>
      </c>
    </row>
    <row r="136" spans="1:4">
      <c r="A136" s="249" t="s">
        <v>44</v>
      </c>
      <c r="C136" s="287"/>
      <c r="D136" s="255" t="e">
        <f>SUM(D130:D132)</f>
        <v>#REF!</v>
      </c>
    </row>
    <row r="137" spans="1:4">
      <c r="A137" s="249"/>
      <c r="C137" s="287"/>
      <c r="D137" s="255"/>
    </row>
    <row r="139" spans="1:4">
      <c r="A139" s="232" t="s">
        <v>158</v>
      </c>
      <c r="B139" s="232"/>
      <c r="C139" s="232"/>
      <c r="D139" s="232"/>
    </row>
    <row r="140" spans="1:4">
      <c r="A140" s="249" t="s">
        <v>2</v>
      </c>
      <c r="B140" s="249" t="s">
        <v>159</v>
      </c>
      <c r="C140" s="249" t="s">
        <v>88</v>
      </c>
      <c r="D140" s="249" t="s">
        <v>5</v>
      </c>
    </row>
    <row r="141" spans="1:4">
      <c r="A141" s="249" t="s">
        <v>28</v>
      </c>
      <c r="B141" t="s">
        <v>22</v>
      </c>
      <c r="D141" s="255">
        <v>998</v>
      </c>
    </row>
    <row r="142" spans="1:4">
      <c r="A142" s="249" t="s">
        <v>31</v>
      </c>
      <c r="B142" t="s">
        <v>47</v>
      </c>
      <c r="D142" s="255">
        <v>843.932</v>
      </c>
    </row>
    <row r="143" spans="1:4">
      <c r="A143" s="249" t="s">
        <v>34</v>
      </c>
      <c r="B143" t="s">
        <v>94</v>
      </c>
      <c r="D143" s="255">
        <v>157.862265311111</v>
      </c>
    </row>
    <row r="144" spans="1:4">
      <c r="A144" s="249" t="s">
        <v>36</v>
      </c>
      <c r="B144" t="s">
        <v>160</v>
      </c>
      <c r="D144" s="255">
        <v>162.187758903987</v>
      </c>
    </row>
    <row r="145" spans="1:4">
      <c r="A145" s="249" t="s">
        <v>39</v>
      </c>
      <c r="B145" t="s">
        <v>138</v>
      </c>
      <c r="D145" s="255" t="e">
        <v>#REF!</v>
      </c>
    </row>
    <row r="146" spans="1:4">
      <c r="A146" t="s">
        <v>161</v>
      </c>
      <c r="D146" s="255" t="e">
        <f>SUM(D141:D145)</f>
        <v>#REF!</v>
      </c>
    </row>
    <row r="147" spans="1:4">
      <c r="A147" s="249" t="s">
        <v>41</v>
      </c>
      <c r="B147" t="s">
        <v>150</v>
      </c>
      <c r="D147" s="255" t="e">
        <v>#REF!</v>
      </c>
    </row>
    <row r="148" spans="1:4">
      <c r="A148" s="289" t="s">
        <v>162</v>
      </c>
      <c r="B148" s="289"/>
      <c r="C148" s="289"/>
      <c r="D148" s="314" t="e">
        <f>(SUM(D141:D145)+D130+D131)/(100%-C132)</f>
        <v>#REF!</v>
      </c>
    </row>
  </sheetData>
  <mergeCells count="24">
    <mergeCell ref="A1:D1"/>
    <mergeCell ref="F1:G1"/>
    <mergeCell ref="F8:G8"/>
    <mergeCell ref="A9:D9"/>
    <mergeCell ref="F14:G14"/>
    <mergeCell ref="A19:D19"/>
    <mergeCell ref="A20:D20"/>
    <mergeCell ref="A26:D26"/>
    <mergeCell ref="A31:D31"/>
    <mergeCell ref="A43:D43"/>
    <mergeCell ref="A47:D47"/>
    <mergeCell ref="A55:D55"/>
    <mergeCell ref="A60:D60"/>
    <mergeCell ref="A67:D67"/>
    <mergeCell ref="A77:D77"/>
    <mergeCell ref="A86:D86"/>
    <mergeCell ref="A87:D87"/>
    <mergeCell ref="A97:D97"/>
    <mergeCell ref="A102:D102"/>
    <mergeCell ref="A107:D107"/>
    <mergeCell ref="A113:D113"/>
    <mergeCell ref="A121:D121"/>
    <mergeCell ref="A128:D128"/>
    <mergeCell ref="A139:D139"/>
  </mergeCells>
  <pageMargins left="0.7" right="0.7" top="0.75" bottom="0.75" header="0.511805555555555" footer="0.511805555555555"/>
  <pageSetup paperSize="9" scale="44" firstPageNumber="0" fitToHeight="0" orientation="portrait" useFirstPageNumber="1" horizontalDpi="300" verticalDpi="300"/>
  <headerFooter/>
  <tableParts count="11">
    <tablePart r:id="rId1"/>
    <tablePart r:id="rId2"/>
    <tablePart r:id="rId3"/>
    <tablePart r:id="rId4"/>
    <tablePart r:id="rId5"/>
    <tablePart r:id="rId6"/>
    <tablePart r:id="rId7"/>
    <tablePart r:id="rId8"/>
    <tablePart r:id="rId9"/>
    <tablePart r:id="rId10"/>
    <tablePart r:id="rId11"/>
  </tableParts>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2:G147"/>
  <sheetViews>
    <sheetView tabSelected="1" workbookViewId="0">
      <selection activeCell="G19" sqref="G19"/>
    </sheetView>
  </sheetViews>
  <sheetFormatPr defaultColWidth="9.14285714285714" defaultRowHeight="15" outlineLevelCol="6"/>
  <cols>
    <col min="1" max="1" width="12" customWidth="1"/>
    <col min="2" max="2" width="56.4285714285714" customWidth="1"/>
    <col min="3" max="3" width="29.2857142857143" customWidth="1"/>
    <col min="4" max="4" width="33.8571428571429" customWidth="1"/>
    <col min="6" max="6" width="22.8571428571429" customWidth="1"/>
    <col min="7" max="7" width="15.552380952381" customWidth="1"/>
    <col min="9" max="9" width="11.4285714285714"/>
  </cols>
  <sheetData>
    <row r="2" ht="19.5" spans="1:4">
      <c r="A2" s="225" t="s">
        <v>163</v>
      </c>
      <c r="B2" s="225"/>
      <c r="C2" s="225"/>
      <c r="D2" s="225"/>
    </row>
    <row r="3" ht="15.75" spans="1:4">
      <c r="A3" s="226" t="s">
        <v>164</v>
      </c>
      <c r="B3" s="226"/>
      <c r="C3" s="226"/>
      <c r="D3" s="226"/>
    </row>
    <row r="4" spans="1:4">
      <c r="A4" s="227" t="s">
        <v>165</v>
      </c>
      <c r="B4" s="228" t="s">
        <v>166</v>
      </c>
      <c r="C4" s="229"/>
      <c r="D4" s="229"/>
    </row>
    <row r="5" spans="1:4">
      <c r="A5" s="230"/>
      <c r="B5" s="231"/>
      <c r="C5" s="231"/>
      <c r="D5" s="231"/>
    </row>
    <row r="6" ht="15.75" spans="1:4">
      <c r="A6" s="232" t="s">
        <v>167</v>
      </c>
      <c r="B6" s="232"/>
      <c r="C6" s="232"/>
      <c r="D6" s="232"/>
    </row>
    <row r="7" ht="15.75" spans="1:4">
      <c r="A7" s="233" t="s">
        <v>28</v>
      </c>
      <c r="B7" s="234" t="s">
        <v>168</v>
      </c>
      <c r="C7" s="235" t="s">
        <v>169</v>
      </c>
      <c r="D7" s="235"/>
    </row>
    <row r="8" spans="1:4">
      <c r="A8" s="236" t="s">
        <v>31</v>
      </c>
      <c r="B8" s="237" t="s">
        <v>170</v>
      </c>
      <c r="C8" s="238" t="s">
        <v>171</v>
      </c>
      <c r="D8" s="238"/>
    </row>
    <row r="9" spans="1:4">
      <c r="A9" s="239" t="s">
        <v>34</v>
      </c>
      <c r="B9" s="240" t="s">
        <v>172</v>
      </c>
      <c r="C9" s="238" t="s">
        <v>173</v>
      </c>
      <c r="D9" s="238"/>
    </row>
    <row r="10" spans="1:4">
      <c r="A10" s="236" t="s">
        <v>39</v>
      </c>
      <c r="B10" s="237" t="s">
        <v>174</v>
      </c>
      <c r="C10" s="238" t="s">
        <v>175</v>
      </c>
      <c r="D10" s="238"/>
    </row>
    <row r="11" ht="15.75" spans="1:4">
      <c r="A11" s="241" t="s">
        <v>176</v>
      </c>
      <c r="B11" s="241"/>
      <c r="C11" s="241"/>
      <c r="D11" s="241"/>
    </row>
    <row r="12" ht="16.5" spans="1:4">
      <c r="A12" s="242" t="s">
        <v>177</v>
      </c>
      <c r="B12" s="242"/>
      <c r="C12" s="241" t="s">
        <v>178</v>
      </c>
      <c r="D12" s="243" t="s">
        <v>179</v>
      </c>
    </row>
    <row r="13" ht="15.75" spans="1:4">
      <c r="A13" s="244" t="s">
        <v>180</v>
      </c>
      <c r="B13" s="244"/>
      <c r="C13" s="238" t="s">
        <v>181</v>
      </c>
      <c r="D13" s="245">
        <f>RESUMO!D3</f>
        <v>1</v>
      </c>
    </row>
    <row r="14" spans="1:4">
      <c r="A14" s="246"/>
      <c r="B14" s="246"/>
      <c r="C14" s="238"/>
      <c r="D14" s="247"/>
    </row>
    <row r="15" ht="15.75" spans="1:7">
      <c r="A15" s="241" t="s">
        <v>0</v>
      </c>
      <c r="B15" s="241"/>
      <c r="C15" s="241"/>
      <c r="D15" s="241"/>
      <c r="F15" s="248"/>
      <c r="G15" s="248"/>
    </row>
    <row r="16" ht="15.75" spans="1:4">
      <c r="A16" s="249" t="s">
        <v>2</v>
      </c>
      <c r="B16" t="s">
        <v>3</v>
      </c>
      <c r="C16" s="249" t="s">
        <v>4</v>
      </c>
      <c r="D16" s="249" t="s">
        <v>5</v>
      </c>
    </row>
    <row r="17" spans="1:4">
      <c r="A17" s="249">
        <v>1</v>
      </c>
      <c r="B17" t="s">
        <v>6</v>
      </c>
      <c r="C17" s="250" t="s">
        <v>88</v>
      </c>
      <c r="D17" s="250" t="str">
        <f>A13</f>
        <v>Auxiliar Administrativo</v>
      </c>
    </row>
    <row r="18" spans="1:4">
      <c r="A18" s="249">
        <v>2</v>
      </c>
      <c r="B18" t="s">
        <v>9</v>
      </c>
      <c r="C18" s="250" t="s">
        <v>182</v>
      </c>
      <c r="D18" s="250" t="s">
        <v>183</v>
      </c>
    </row>
    <row r="19" spans="1:4">
      <c r="A19" s="249">
        <v>3</v>
      </c>
      <c r="B19" t="s">
        <v>12</v>
      </c>
      <c r="C19" s="250" t="str">
        <f>C9</f>
        <v>CCT PB000047/2021</v>
      </c>
      <c r="D19" s="222">
        <v>1148</v>
      </c>
    </row>
    <row r="20" spans="1:4">
      <c r="A20" s="249">
        <v>4</v>
      </c>
      <c r="B20" t="s">
        <v>15</v>
      </c>
      <c r="C20" s="250" t="str">
        <f>C9</f>
        <v>CCT PB000047/2021</v>
      </c>
      <c r="D20" s="251" t="s">
        <v>184</v>
      </c>
    </row>
    <row r="21" spans="1:4">
      <c r="A21" s="249">
        <v>5</v>
      </c>
      <c r="B21" t="s">
        <v>19</v>
      </c>
      <c r="C21" s="250" t="str">
        <f>C9</f>
        <v>CCT PB000047/2021</v>
      </c>
      <c r="D21" s="252" t="s">
        <v>185</v>
      </c>
    </row>
    <row r="22" spans="6:7">
      <c r="F22" s="248"/>
      <c r="G22" s="248"/>
    </row>
    <row r="23" spans="1:4">
      <c r="A23" s="232" t="s">
        <v>22</v>
      </c>
      <c r="B23" s="232"/>
      <c r="C23" s="232"/>
      <c r="D23" s="232"/>
    </row>
    <row r="24" spans="1:7">
      <c r="A24" s="249" t="s">
        <v>25</v>
      </c>
      <c r="B24" s="253" t="s">
        <v>26</v>
      </c>
      <c r="C24" s="249" t="s">
        <v>4</v>
      </c>
      <c r="D24" s="249" t="s">
        <v>5</v>
      </c>
      <c r="G24" s="254"/>
    </row>
    <row r="25" spans="1:7">
      <c r="A25" s="249" t="s">
        <v>28</v>
      </c>
      <c r="B25" t="s">
        <v>29</v>
      </c>
      <c r="C25" s="251" t="s">
        <v>186</v>
      </c>
      <c r="D25" s="222">
        <f>D19</f>
        <v>1148</v>
      </c>
      <c r="G25" s="254"/>
    </row>
    <row r="26" spans="1:7">
      <c r="A26" s="249" t="s">
        <v>31</v>
      </c>
      <c r="B26" t="s">
        <v>32</v>
      </c>
      <c r="C26" s="251"/>
      <c r="D26" s="222">
        <v>0</v>
      </c>
      <c r="G26" s="254"/>
    </row>
    <row r="27" spans="1:4">
      <c r="A27" s="249" t="s">
        <v>34</v>
      </c>
      <c r="B27" t="s">
        <v>35</v>
      </c>
      <c r="C27" s="251"/>
      <c r="D27" s="222">
        <v>0</v>
      </c>
    </row>
    <row r="28" spans="1:4">
      <c r="A28" s="249" t="s">
        <v>36</v>
      </c>
      <c r="B28" t="s">
        <v>37</v>
      </c>
      <c r="C28" s="251"/>
      <c r="D28" s="222">
        <v>0</v>
      </c>
    </row>
    <row r="29" spans="1:4">
      <c r="A29" s="249" t="s">
        <v>39</v>
      </c>
      <c r="B29" t="s">
        <v>40</v>
      </c>
      <c r="C29" s="251"/>
      <c r="D29" s="222">
        <v>0</v>
      </c>
    </row>
    <row r="30" spans="1:4">
      <c r="A30" s="249" t="s">
        <v>41</v>
      </c>
      <c r="B30" t="s">
        <v>42</v>
      </c>
      <c r="C30" s="251"/>
      <c r="D30" s="222">
        <v>0</v>
      </c>
    </row>
    <row r="31" spans="1:7">
      <c r="A31" s="249" t="s">
        <v>44</v>
      </c>
      <c r="C31" s="249"/>
      <c r="D31" s="255">
        <f>TRUNC((SUM(D25:D30)),2)</f>
        <v>1148</v>
      </c>
      <c r="F31" s="248"/>
      <c r="G31" s="248"/>
    </row>
    <row r="33" spans="1:7">
      <c r="A33" s="256" t="s">
        <v>47</v>
      </c>
      <c r="B33" s="256"/>
      <c r="C33" s="256"/>
      <c r="D33" s="256"/>
      <c r="G33" s="254"/>
    </row>
    <row r="35" spans="1:4">
      <c r="A35" s="248" t="s">
        <v>49</v>
      </c>
      <c r="B35" s="248"/>
      <c r="C35" s="248"/>
      <c r="D35" s="248"/>
    </row>
    <row r="36" spans="1:4">
      <c r="A36" s="249" t="s">
        <v>51</v>
      </c>
      <c r="B36" s="253" t="s">
        <v>52</v>
      </c>
      <c r="C36" s="249" t="s">
        <v>24</v>
      </c>
      <c r="D36" s="249" t="s">
        <v>5</v>
      </c>
    </row>
    <row r="37" spans="1:7">
      <c r="A37" s="249" t="s">
        <v>28</v>
      </c>
      <c r="B37" t="s">
        <v>53</v>
      </c>
      <c r="C37" s="257">
        <f>(1/12)</f>
        <v>0.0833333333333333</v>
      </c>
      <c r="D37" s="255">
        <f>TRUNC($D$31*C37,2)</f>
        <v>95.66</v>
      </c>
      <c r="F37" s="258"/>
      <c r="G37" s="258"/>
    </row>
    <row r="38" spans="1:7">
      <c r="A38" s="249" t="s">
        <v>31</v>
      </c>
      <c r="B38" t="s">
        <v>54</v>
      </c>
      <c r="C38" s="257">
        <f>(((1+1/3)/12))</f>
        <v>0.111111111111111</v>
      </c>
      <c r="D38" s="255">
        <f>TRUNC($D$31*C38,2)</f>
        <v>127.55</v>
      </c>
      <c r="F38" s="258"/>
      <c r="G38" s="258"/>
    </row>
    <row r="39" spans="1:7">
      <c r="A39" s="249" t="s">
        <v>44</v>
      </c>
      <c r="D39" s="255">
        <f>TRUNC((SUM(D37:D38)),2)</f>
        <v>223.21</v>
      </c>
      <c r="F39" s="258"/>
      <c r="G39" s="258"/>
    </row>
    <row r="40" ht="15.75" spans="4:7">
      <c r="D40" s="255"/>
      <c r="F40" s="258"/>
      <c r="G40" s="258"/>
    </row>
    <row r="41" ht="16.5" spans="1:7">
      <c r="A41" s="259" t="s">
        <v>187</v>
      </c>
      <c r="B41" s="259"/>
      <c r="C41" s="260" t="s">
        <v>188</v>
      </c>
      <c r="D41" s="261">
        <f>D31</f>
        <v>1148</v>
      </c>
      <c r="F41" s="258"/>
      <c r="G41" s="258"/>
    </row>
    <row r="42" ht="16.5" spans="1:7">
      <c r="A42" s="259"/>
      <c r="B42" s="259"/>
      <c r="C42" s="262" t="s">
        <v>189</v>
      </c>
      <c r="D42" s="261">
        <f>D39</f>
        <v>223.21</v>
      </c>
      <c r="F42" s="258"/>
      <c r="G42" s="258"/>
    </row>
    <row r="43" ht="16.5" spans="1:7">
      <c r="A43" s="259"/>
      <c r="B43" s="259"/>
      <c r="C43" s="260" t="s">
        <v>190</v>
      </c>
      <c r="D43" s="263">
        <f>TRUNC((SUM(D41:D42)),2)</f>
        <v>1371.21</v>
      </c>
      <c r="F43" s="258"/>
      <c r="G43" s="258"/>
    </row>
    <row r="44" ht="15.75" spans="1:7">
      <c r="A44" s="249"/>
      <c r="C44" s="264"/>
      <c r="D44" s="255"/>
      <c r="F44" s="258"/>
      <c r="G44" s="258"/>
    </row>
    <row r="45" spans="1:4">
      <c r="A45" s="248" t="s">
        <v>63</v>
      </c>
      <c r="B45" s="248"/>
      <c r="C45" s="248"/>
      <c r="D45" s="248"/>
    </row>
    <row r="46" spans="1:4">
      <c r="A46" s="249" t="s">
        <v>64</v>
      </c>
      <c r="B46" s="253" t="s">
        <v>65</v>
      </c>
      <c r="C46" s="249" t="s">
        <v>24</v>
      </c>
      <c r="D46" s="249" t="s">
        <v>66</v>
      </c>
    </row>
    <row r="47" spans="1:4">
      <c r="A47" s="249" t="s">
        <v>28</v>
      </c>
      <c r="B47" t="s">
        <v>67</v>
      </c>
      <c r="C47" s="257">
        <v>0.2</v>
      </c>
      <c r="D47" s="255">
        <f t="shared" ref="D47:D54" si="0">TRUNC(($D$43*C47),2)</f>
        <v>274.24</v>
      </c>
    </row>
    <row r="48" spans="1:4">
      <c r="A48" s="249" t="s">
        <v>31</v>
      </c>
      <c r="B48" t="s">
        <v>68</v>
      </c>
      <c r="C48" s="257">
        <v>0.025</v>
      </c>
      <c r="D48" s="255">
        <f t="shared" si="0"/>
        <v>34.28</v>
      </c>
    </row>
    <row r="49" spans="1:4">
      <c r="A49" s="249" t="s">
        <v>34</v>
      </c>
      <c r="B49" t="s">
        <v>191</v>
      </c>
      <c r="C49" s="265">
        <v>0.06</v>
      </c>
      <c r="D49" s="222">
        <f t="shared" si="0"/>
        <v>82.27</v>
      </c>
    </row>
    <row r="50" spans="1:4">
      <c r="A50" s="249" t="s">
        <v>36</v>
      </c>
      <c r="B50" t="s">
        <v>70</v>
      </c>
      <c r="C50" s="257">
        <v>0.015</v>
      </c>
      <c r="D50" s="255">
        <f t="shared" si="0"/>
        <v>20.56</v>
      </c>
    </row>
    <row r="51" spans="1:4">
      <c r="A51" s="249" t="s">
        <v>39</v>
      </c>
      <c r="B51" t="s">
        <v>71</v>
      </c>
      <c r="C51" s="257">
        <v>0.01</v>
      </c>
      <c r="D51" s="255">
        <f t="shared" si="0"/>
        <v>13.71</v>
      </c>
    </row>
    <row r="52" spans="1:4">
      <c r="A52" s="249" t="s">
        <v>41</v>
      </c>
      <c r="B52" t="s">
        <v>72</v>
      </c>
      <c r="C52" s="257">
        <v>0.006</v>
      </c>
      <c r="D52" s="255">
        <f t="shared" si="0"/>
        <v>8.22</v>
      </c>
    </row>
    <row r="53" spans="1:4">
      <c r="A53" s="249" t="s">
        <v>73</v>
      </c>
      <c r="B53" t="s">
        <v>74</v>
      </c>
      <c r="C53" s="257">
        <v>0.002</v>
      </c>
      <c r="D53" s="255">
        <f t="shared" si="0"/>
        <v>2.74</v>
      </c>
    </row>
    <row r="54" spans="1:4">
      <c r="A54" s="249" t="s">
        <v>75</v>
      </c>
      <c r="B54" t="s">
        <v>76</v>
      </c>
      <c r="C54" s="257">
        <v>0.08</v>
      </c>
      <c r="D54" s="255">
        <f t="shared" si="0"/>
        <v>109.69</v>
      </c>
    </row>
    <row r="55" spans="1:4">
      <c r="A55" s="249" t="s">
        <v>44</v>
      </c>
      <c r="C55" s="264">
        <f>SUM(C47:C54)</f>
        <v>0.398</v>
      </c>
      <c r="D55" s="255">
        <f>TRUNC(SUM(D47:D54),2)</f>
        <v>545.71</v>
      </c>
    </row>
    <row r="56" spans="1:4">
      <c r="A56" s="249"/>
      <c r="C56" s="264"/>
      <c r="D56" s="255"/>
    </row>
    <row r="57" spans="1:4">
      <c r="A57" s="248" t="s">
        <v>81</v>
      </c>
      <c r="B57" s="248"/>
      <c r="C57" s="248"/>
      <c r="D57" s="248"/>
    </row>
    <row r="58" spans="1:4">
      <c r="A58" s="249" t="s">
        <v>82</v>
      </c>
      <c r="B58" s="253" t="s">
        <v>83</v>
      </c>
      <c r="C58" s="249" t="s">
        <v>4</v>
      </c>
      <c r="D58" s="249" t="s">
        <v>5</v>
      </c>
    </row>
    <row r="59" spans="1:4">
      <c r="A59" s="249" t="s">
        <v>28</v>
      </c>
      <c r="B59" t="s">
        <v>84</v>
      </c>
      <c r="C59" s="250"/>
      <c r="D59" s="266">
        <f>TRUNC(((22*4.35)*2)-((D25/100)*6),2)</f>
        <v>122.52</v>
      </c>
    </row>
    <row r="60" spans="1:4">
      <c r="A60" s="249" t="s">
        <v>31</v>
      </c>
      <c r="B60" t="s">
        <v>85</v>
      </c>
      <c r="C60" s="250" t="str">
        <f>C9</f>
        <v>CCT PB000047/2021</v>
      </c>
      <c r="D60" s="222">
        <f>TRUNC((((22*18))-(((22*18))*0.2)),2)</f>
        <v>316.8</v>
      </c>
    </row>
    <row r="61" spans="1:4">
      <c r="A61" s="249" t="s">
        <v>34</v>
      </c>
      <c r="B61" t="s">
        <v>86</v>
      </c>
      <c r="C61" s="250"/>
      <c r="D61" s="222">
        <v>0</v>
      </c>
    </row>
    <row r="62" spans="1:6">
      <c r="A62" s="267" t="s">
        <v>36</v>
      </c>
      <c r="B62" s="268" t="s">
        <v>192</v>
      </c>
      <c r="C62" s="198"/>
      <c r="D62" s="198">
        <v>0</v>
      </c>
      <c r="F62" s="268"/>
    </row>
    <row r="63" spans="1:4">
      <c r="A63" s="249" t="s">
        <v>39</v>
      </c>
      <c r="B63" s="253" t="s">
        <v>193</v>
      </c>
      <c r="C63" s="250" t="str">
        <f>C60</f>
        <v>CCT PB000047/2021</v>
      </c>
      <c r="D63" s="222">
        <v>15</v>
      </c>
    </row>
    <row r="64" spans="1:4">
      <c r="A64" s="249" t="s">
        <v>41</v>
      </c>
      <c r="B64" s="269" t="s">
        <v>194</v>
      </c>
      <c r="C64" s="198" t="str">
        <f>C60</f>
        <v>CCT PB000047/2021</v>
      </c>
      <c r="D64" s="222">
        <v>5</v>
      </c>
    </row>
    <row r="65" spans="1:4">
      <c r="A65" s="249" t="s">
        <v>44</v>
      </c>
      <c r="D65" s="255">
        <f>TRUNC((SUM(D59:D64)),2)</f>
        <v>459.32</v>
      </c>
    </row>
    <row r="66" spans="1:4">
      <c r="A66" s="249"/>
      <c r="D66" s="255"/>
    </row>
    <row r="67" spans="1:4">
      <c r="A67" s="248" t="s">
        <v>91</v>
      </c>
      <c r="B67" s="248"/>
      <c r="C67" s="248"/>
      <c r="D67" s="248"/>
    </row>
    <row r="68" spans="1:4">
      <c r="A68" s="249" t="s">
        <v>92</v>
      </c>
      <c r="B68" s="253" t="s">
        <v>93</v>
      </c>
      <c r="C68" s="249" t="s">
        <v>4</v>
      </c>
      <c r="D68" s="249" t="s">
        <v>5</v>
      </c>
    </row>
    <row r="69" spans="1:4">
      <c r="A69" s="249" t="s">
        <v>51</v>
      </c>
      <c r="B69" t="s">
        <v>52</v>
      </c>
      <c r="C69" s="249"/>
      <c r="D69" s="255">
        <f>D39</f>
        <v>223.21</v>
      </c>
    </row>
    <row r="70" spans="1:4">
      <c r="A70" s="249" t="s">
        <v>64</v>
      </c>
      <c r="B70" t="s">
        <v>65</v>
      </c>
      <c r="C70" s="249"/>
      <c r="D70" s="255">
        <f>D55</f>
        <v>545.71</v>
      </c>
    </row>
    <row r="71" spans="1:4">
      <c r="A71" s="249" t="s">
        <v>82</v>
      </c>
      <c r="B71" t="s">
        <v>83</v>
      </c>
      <c r="C71" s="249"/>
      <c r="D71" s="255">
        <f>D65</f>
        <v>459.32</v>
      </c>
    </row>
    <row r="72" spans="1:4">
      <c r="A72" s="249" t="s">
        <v>44</v>
      </c>
      <c r="C72" s="249"/>
      <c r="D72" s="255">
        <f>TRUNC((SUM(D69:D71)),2)</f>
        <v>1228.24</v>
      </c>
    </row>
    <row r="74" spans="1:4">
      <c r="A74" s="232" t="s">
        <v>94</v>
      </c>
      <c r="B74" s="232"/>
      <c r="C74" s="232"/>
      <c r="D74" s="232"/>
    </row>
    <row r="75" spans="1:4">
      <c r="A75" s="249" t="s">
        <v>95</v>
      </c>
      <c r="B75" s="253" t="s">
        <v>96</v>
      </c>
      <c r="C75" s="249" t="s">
        <v>24</v>
      </c>
      <c r="D75" s="249" t="s">
        <v>5</v>
      </c>
    </row>
    <row r="76" spans="1:4">
      <c r="A76" s="249" t="s">
        <v>28</v>
      </c>
      <c r="B76" t="s">
        <v>97</v>
      </c>
      <c r="C76" s="265">
        <f>((1/12)*5%)</f>
        <v>0.00416666666666667</v>
      </c>
      <c r="D76" s="222">
        <f>TRUNC(($D$31*C76),2)</f>
        <v>4.78</v>
      </c>
    </row>
    <row r="77" spans="1:4">
      <c r="A77" s="249" t="s">
        <v>31</v>
      </c>
      <c r="B77" t="s">
        <v>98</v>
      </c>
      <c r="C77" s="270">
        <v>0.08</v>
      </c>
      <c r="D77" s="255">
        <f>TRUNC(($D$76*C77),2)</f>
        <v>0.38</v>
      </c>
    </row>
    <row r="78" spans="1:4">
      <c r="A78" s="249" t="s">
        <v>34</v>
      </c>
      <c r="B78" s="271" t="s">
        <v>99</v>
      </c>
      <c r="C78" s="272">
        <f>(0.08*0.4*0.05)</f>
        <v>0.0016</v>
      </c>
      <c r="D78" s="198">
        <f>TRUNC(($D$31*C78),2)</f>
        <v>1.83</v>
      </c>
    </row>
    <row r="79" spans="1:4">
      <c r="A79" s="249" t="s">
        <v>36</v>
      </c>
      <c r="B79" t="s">
        <v>100</v>
      </c>
      <c r="C79" s="273">
        <f>(((7/30)/12)*0.95)</f>
        <v>0.0184722222222222</v>
      </c>
      <c r="D79" s="274">
        <f>TRUNC(($D$31*C79),2)</f>
        <v>21.2</v>
      </c>
    </row>
    <row r="80" spans="1:4">
      <c r="A80" s="249" t="s">
        <v>39</v>
      </c>
      <c r="B80" s="271" t="s">
        <v>195</v>
      </c>
      <c r="C80" s="272">
        <f>C55</f>
        <v>0.398</v>
      </c>
      <c r="D80" s="198">
        <f>TRUNC(($D$79*C80),2)</f>
        <v>8.43</v>
      </c>
    </row>
    <row r="81" spans="1:4">
      <c r="A81" s="249" t="s">
        <v>41</v>
      </c>
      <c r="B81" s="271" t="s">
        <v>101</v>
      </c>
      <c r="C81" s="273">
        <f>(0.08*0.4*0.95)</f>
        <v>0.0304</v>
      </c>
      <c r="D81" s="298">
        <f>TRUNC(($D$31*C81),2)</f>
        <v>34.89</v>
      </c>
    </row>
    <row r="82" spans="1:4">
      <c r="A82" s="249" t="s">
        <v>44</v>
      </c>
      <c r="C82" s="270">
        <f>SUM(C76:C81)</f>
        <v>0.532638888888889</v>
      </c>
      <c r="D82" s="255">
        <f>TRUNC((SUM(D76:D81)),2)</f>
        <v>71.51</v>
      </c>
    </row>
    <row r="83" ht="15.75" spans="1:4">
      <c r="A83" s="249"/>
      <c r="D83" s="255"/>
    </row>
    <row r="84" ht="16.5" spans="1:4">
      <c r="A84" s="259" t="s">
        <v>196</v>
      </c>
      <c r="B84" s="259"/>
      <c r="C84" s="260" t="s">
        <v>188</v>
      </c>
      <c r="D84" s="261">
        <f>D31</f>
        <v>1148</v>
      </c>
    </row>
    <row r="85" ht="16.5" spans="1:4">
      <c r="A85" s="259"/>
      <c r="B85" s="259"/>
      <c r="C85" s="262" t="s">
        <v>197</v>
      </c>
      <c r="D85" s="261">
        <f>D72</f>
        <v>1228.24</v>
      </c>
    </row>
    <row r="86" ht="16.5" spans="1:4">
      <c r="A86" s="259"/>
      <c r="B86" s="259"/>
      <c r="C86" s="260" t="s">
        <v>198</v>
      </c>
      <c r="D86" s="261">
        <f>D82</f>
        <v>71.51</v>
      </c>
    </row>
    <row r="87" ht="16.5" spans="1:4">
      <c r="A87" s="259"/>
      <c r="B87" s="259"/>
      <c r="C87" s="262" t="s">
        <v>190</v>
      </c>
      <c r="D87" s="263">
        <f>TRUNC((SUM(D84:D86)),2)</f>
        <v>2447.75</v>
      </c>
    </row>
    <row r="88" ht="15.75" spans="1:4">
      <c r="A88" s="249"/>
      <c r="D88" s="255"/>
    </row>
    <row r="89" spans="1:4">
      <c r="A89" s="275" t="s">
        <v>113</v>
      </c>
      <c r="B89" s="275"/>
      <c r="C89" s="275"/>
      <c r="D89" s="275"/>
    </row>
    <row r="90" spans="1:4">
      <c r="A90" s="248" t="s">
        <v>114</v>
      </c>
      <c r="B90" s="248"/>
      <c r="C90" s="248"/>
      <c r="D90" s="248"/>
    </row>
    <row r="91" spans="1:4">
      <c r="A91" s="249" t="s">
        <v>115</v>
      </c>
      <c r="B91" s="253" t="s">
        <v>116</v>
      </c>
      <c r="C91" s="249" t="s">
        <v>24</v>
      </c>
      <c r="D91" s="249" t="s">
        <v>5</v>
      </c>
    </row>
    <row r="92" spans="1:4">
      <c r="A92" s="249" t="s">
        <v>28</v>
      </c>
      <c r="B92" t="s">
        <v>199</v>
      </c>
      <c r="C92" s="270">
        <f>(((1+1/3)/12)/12)+((1/12)/12)</f>
        <v>0.0162037037037037</v>
      </c>
      <c r="D92" s="255">
        <f>TRUNC(($D$87*C92),2)</f>
        <v>39.66</v>
      </c>
    </row>
    <row r="93" spans="1:4">
      <c r="A93" s="249" t="s">
        <v>31</v>
      </c>
      <c r="B93" t="s">
        <v>119</v>
      </c>
      <c r="C93" s="265">
        <f>((2/30)/12)</f>
        <v>0.00555555555555556</v>
      </c>
      <c r="D93" s="198">
        <f t="shared" ref="D92:D96" si="1">TRUNC(($D$87*C93),2)</f>
        <v>13.59</v>
      </c>
    </row>
    <row r="94" spans="1:4">
      <c r="A94" s="249" t="s">
        <v>34</v>
      </c>
      <c r="B94" t="s">
        <v>120</v>
      </c>
      <c r="C94" s="265">
        <f>((5/30)/12)*0.02</f>
        <v>0.000277777777777778</v>
      </c>
      <c r="D94" s="198">
        <f t="shared" si="1"/>
        <v>0.67</v>
      </c>
    </row>
    <row r="95" spans="1:4">
      <c r="A95" s="267" t="s">
        <v>36</v>
      </c>
      <c r="B95" s="271" t="s">
        <v>121</v>
      </c>
      <c r="C95" s="272">
        <f>((15/30)/12)*0.08</f>
        <v>0.00333333333333333</v>
      </c>
      <c r="D95" s="198">
        <f t="shared" si="1"/>
        <v>8.15</v>
      </c>
    </row>
    <row r="96" spans="1:4">
      <c r="A96" s="249" t="s">
        <v>39</v>
      </c>
      <c r="B96" t="s">
        <v>122</v>
      </c>
      <c r="C96" s="265">
        <f>((1+1/3)/12)*0.03*((4/12))</f>
        <v>0.00111111111111111</v>
      </c>
      <c r="D96" s="198">
        <f t="shared" si="1"/>
        <v>2.71</v>
      </c>
    </row>
    <row r="97" spans="1:4">
      <c r="A97" s="249" t="s">
        <v>41</v>
      </c>
      <c r="B97" s="271" t="s">
        <v>200</v>
      </c>
      <c r="C97" s="276">
        <v>0</v>
      </c>
      <c r="D97" s="198">
        <f>TRUNC($D$87*C97)</f>
        <v>0</v>
      </c>
    </row>
    <row r="98" spans="1:4">
      <c r="A98" s="249" t="s">
        <v>44</v>
      </c>
      <c r="C98" s="270">
        <f>SUM(C92:C97)</f>
        <v>0.0264814814814815</v>
      </c>
      <c r="D98" s="255">
        <f>TRUNC((SUM(D92:D97)),2)</f>
        <v>64.78</v>
      </c>
    </row>
    <row r="99" spans="1:4">
      <c r="A99" s="249"/>
      <c r="C99" s="249"/>
      <c r="D99" s="255"/>
    </row>
    <row r="100" spans="1:4">
      <c r="A100" s="248" t="s">
        <v>130</v>
      </c>
      <c r="B100" s="248"/>
      <c r="C100" s="248"/>
      <c r="D100" s="248"/>
    </row>
    <row r="101" spans="1:4">
      <c r="A101" s="249" t="s">
        <v>131</v>
      </c>
      <c r="B101" s="253" t="s">
        <v>132</v>
      </c>
      <c r="C101" s="249" t="s">
        <v>4</v>
      </c>
      <c r="D101" s="249" t="s">
        <v>5</v>
      </c>
    </row>
    <row r="102" ht="75" spans="1:4">
      <c r="A102" s="267" t="s">
        <v>28</v>
      </c>
      <c r="B102" s="277" t="s">
        <v>133</v>
      </c>
      <c r="C102" s="209" t="s">
        <v>201</v>
      </c>
      <c r="D102" s="210" t="s">
        <v>202</v>
      </c>
    </row>
    <row r="103" spans="1:4">
      <c r="A103" s="249" t="s">
        <v>44</v>
      </c>
      <c r="C103" s="278"/>
      <c r="D103" s="211" t="str">
        <f>D102</f>
        <v>*=TRUNCAR(($D$86/220)*(1*(365/12))/2)</v>
      </c>
    </row>
    <row r="105" spans="1:4">
      <c r="A105" s="248" t="s">
        <v>134</v>
      </c>
      <c r="B105" s="248"/>
      <c r="C105" s="248"/>
      <c r="D105" s="248"/>
    </row>
    <row r="106" spans="1:4">
      <c r="A106" s="249" t="s">
        <v>135</v>
      </c>
      <c r="B106" s="253" t="s">
        <v>136</v>
      </c>
      <c r="C106" s="249" t="s">
        <v>4</v>
      </c>
      <c r="D106" s="249" t="s">
        <v>5</v>
      </c>
    </row>
    <row r="107" spans="1:4">
      <c r="A107" s="249" t="s">
        <v>115</v>
      </c>
      <c r="B107" t="s">
        <v>116</v>
      </c>
      <c r="D107" s="222">
        <f>D98</f>
        <v>64.78</v>
      </c>
    </row>
    <row r="108" spans="1:4">
      <c r="A108" s="249" t="s">
        <v>131</v>
      </c>
      <c r="B108" t="s">
        <v>137</v>
      </c>
      <c r="C108" s="253"/>
      <c r="D108" s="279" t="str">
        <f>Submódulo4.260_55107[[#Totals],[Valor]]</f>
        <v>*=TRUNCAR(($D$86/220)*(1*(365/12))/2)</v>
      </c>
    </row>
    <row r="109" ht="45" spans="1:4">
      <c r="A109" s="267" t="s">
        <v>44</v>
      </c>
      <c r="B109" s="268"/>
      <c r="C109" s="209" t="s">
        <v>203</v>
      </c>
      <c r="D109" s="280">
        <f>TRUNC((SUM(D107:D108)),2)</f>
        <v>64.78</v>
      </c>
    </row>
    <row r="111" spans="1:4">
      <c r="A111" s="232" t="s">
        <v>138</v>
      </c>
      <c r="B111" s="232"/>
      <c r="C111" s="232"/>
      <c r="D111" s="232"/>
    </row>
    <row r="112" ht="37" customHeight="1" spans="1:4">
      <c r="A112" s="267" t="s">
        <v>139</v>
      </c>
      <c r="B112" s="268" t="s">
        <v>140</v>
      </c>
      <c r="C112" s="267" t="s">
        <v>4</v>
      </c>
      <c r="D112" s="267" t="s">
        <v>5</v>
      </c>
    </row>
    <row r="113" spans="1:4">
      <c r="A113" s="249" t="s">
        <v>28</v>
      </c>
      <c r="B113" s="33" t="s">
        <v>204</v>
      </c>
      <c r="C113" s="91"/>
      <c r="D113" s="182">
        <f>Uniformes!G11</f>
        <v>92.4</v>
      </c>
    </row>
    <row r="114" spans="1:4">
      <c r="A114" s="249" t="s">
        <v>31</v>
      </c>
      <c r="B114" s="33" t="s">
        <v>205</v>
      </c>
      <c r="C114" s="91"/>
      <c r="D114" s="281">
        <f>EPC!E21</f>
        <v>17.95</v>
      </c>
    </row>
    <row r="115" spans="1:4">
      <c r="A115" s="249" t="s">
        <v>34</v>
      </c>
      <c r="B115" s="33" t="s">
        <v>142</v>
      </c>
      <c r="C115" s="33"/>
      <c r="D115" s="182">
        <v>0</v>
      </c>
    </row>
    <row r="116" spans="1:4">
      <c r="A116" s="249" t="s">
        <v>36</v>
      </c>
      <c r="B116" s="33" t="s">
        <v>143</v>
      </c>
      <c r="C116" s="33"/>
      <c r="D116" s="182">
        <v>0</v>
      </c>
    </row>
    <row r="117" spans="1:4">
      <c r="A117" s="249" t="s">
        <v>39</v>
      </c>
      <c r="B117" s="33" t="s">
        <v>206</v>
      </c>
      <c r="C117" s="180"/>
      <c r="D117" s="299">
        <v>0</v>
      </c>
    </row>
    <row r="118" spans="1:4">
      <c r="A118" s="249" t="s">
        <v>44</v>
      </c>
      <c r="B118" s="91"/>
      <c r="C118" s="91"/>
      <c r="D118" s="300">
        <f>TRUNC(SUM(D113:D117),2)</f>
        <v>110.35</v>
      </c>
    </row>
    <row r="120" ht="16.5" spans="1:4">
      <c r="A120" s="259" t="s">
        <v>207</v>
      </c>
      <c r="B120" s="259"/>
      <c r="C120" s="260" t="s">
        <v>188</v>
      </c>
      <c r="D120" s="261">
        <f>D31</f>
        <v>1148</v>
      </c>
    </row>
    <row r="121" ht="16.5" spans="1:4">
      <c r="A121" s="259"/>
      <c r="B121" s="259"/>
      <c r="C121" s="262" t="s">
        <v>197</v>
      </c>
      <c r="D121" s="261">
        <f>D72</f>
        <v>1228.24</v>
      </c>
    </row>
    <row r="122" ht="16.5" spans="1:4">
      <c r="A122" s="259"/>
      <c r="B122" s="259"/>
      <c r="C122" s="260" t="s">
        <v>198</v>
      </c>
      <c r="D122" s="261">
        <f>D82</f>
        <v>71.51</v>
      </c>
    </row>
    <row r="123" ht="16.5" spans="1:4">
      <c r="A123" s="259"/>
      <c r="B123" s="259"/>
      <c r="C123" s="262" t="s">
        <v>208</v>
      </c>
      <c r="D123" s="261">
        <f>D109</f>
        <v>64.78</v>
      </c>
    </row>
    <row r="124" ht="16.5" spans="1:4">
      <c r="A124" s="259"/>
      <c r="B124" s="259"/>
      <c r="C124" s="260" t="s">
        <v>209</v>
      </c>
      <c r="D124" s="261">
        <f>D118</f>
        <v>110.35</v>
      </c>
    </row>
    <row r="125" ht="16.5" spans="1:4">
      <c r="A125" s="259"/>
      <c r="B125" s="259"/>
      <c r="C125" s="262" t="s">
        <v>190</v>
      </c>
      <c r="D125" s="263">
        <f>TRUNC((SUM(D120:D124)),2)</f>
        <v>2622.88</v>
      </c>
    </row>
    <row r="126" ht="15.75"/>
    <row r="127" spans="1:4">
      <c r="A127" s="232" t="s">
        <v>150</v>
      </c>
      <c r="B127" s="232"/>
      <c r="C127" s="232"/>
      <c r="D127" s="232"/>
    </row>
    <row r="128" spans="1:7">
      <c r="A128" s="249" t="s">
        <v>151</v>
      </c>
      <c r="B128" t="s">
        <v>152</v>
      </c>
      <c r="C128" s="249" t="s">
        <v>24</v>
      </c>
      <c r="D128" s="249" t="s">
        <v>5</v>
      </c>
      <c r="F128" s="282" t="s">
        <v>210</v>
      </c>
      <c r="G128" s="282"/>
    </row>
    <row r="129" ht="15.75" spans="1:7">
      <c r="A129" s="249" t="s">
        <v>28</v>
      </c>
      <c r="B129" t="s">
        <v>153</v>
      </c>
      <c r="C129" s="195">
        <v>0.044</v>
      </c>
      <c r="D129" s="182">
        <f>TRUNC(($D$125*C129),2)</f>
        <v>115.4</v>
      </c>
      <c r="F129" s="283" t="s">
        <v>211</v>
      </c>
      <c r="G129" s="272">
        <f>C131</f>
        <v>0.0865</v>
      </c>
    </row>
    <row r="130" ht="15.75" spans="1:7">
      <c r="A130" s="249" t="s">
        <v>31</v>
      </c>
      <c r="B130" t="s">
        <v>45</v>
      </c>
      <c r="C130" s="195">
        <v>0.0413</v>
      </c>
      <c r="D130" s="182">
        <f>TRUNC((C130*(D125+D129)),2)</f>
        <v>113.09</v>
      </c>
      <c r="F130" s="284" t="s">
        <v>212</v>
      </c>
      <c r="G130" s="285">
        <f>TRUNC(SUM(D125,D129,D130),2)</f>
        <v>2851.37</v>
      </c>
    </row>
    <row r="131" spans="1:7">
      <c r="A131" s="249" t="s">
        <v>34</v>
      </c>
      <c r="B131" t="s">
        <v>154</v>
      </c>
      <c r="C131" s="195">
        <f>SUM(C132:C134)</f>
        <v>0.0865</v>
      </c>
      <c r="D131" s="281">
        <f>SUM(D132:D134)</f>
        <v>269.98</v>
      </c>
      <c r="F131" s="283" t="s">
        <v>213</v>
      </c>
      <c r="G131" s="286">
        <f>(100-8.65)/100</f>
        <v>0.9135</v>
      </c>
    </row>
    <row r="132" ht="15.75" spans="1:7">
      <c r="A132" s="249"/>
      <c r="B132" t="s">
        <v>214</v>
      </c>
      <c r="C132" s="265">
        <v>0.0065</v>
      </c>
      <c r="D132" s="222">
        <f t="shared" ref="D132:D134" si="2">TRUNC(($G$132*C132),2)</f>
        <v>20.28</v>
      </c>
      <c r="F132" s="284" t="s">
        <v>210</v>
      </c>
      <c r="G132" s="285">
        <f>TRUNC((G130/G131),2)</f>
        <v>3121.36</v>
      </c>
    </row>
    <row r="133" ht="15.75" spans="1:4">
      <c r="A133" s="249"/>
      <c r="B133" t="s">
        <v>215</v>
      </c>
      <c r="C133" s="265">
        <v>0.03</v>
      </c>
      <c r="D133" s="222">
        <f t="shared" si="2"/>
        <v>93.64</v>
      </c>
    </row>
    <row r="134" spans="1:4">
      <c r="A134" s="249"/>
      <c r="B134" t="s">
        <v>216</v>
      </c>
      <c r="C134" s="265">
        <v>0.05</v>
      </c>
      <c r="D134" s="222">
        <f t="shared" si="2"/>
        <v>156.06</v>
      </c>
    </row>
    <row r="135" spans="1:4">
      <c r="A135" s="249" t="s">
        <v>44</v>
      </c>
      <c r="B135" s="33"/>
      <c r="C135" s="287"/>
      <c r="D135" s="255">
        <f>SUM(D129:D131)</f>
        <v>498.47</v>
      </c>
    </row>
    <row r="136" spans="1:4">
      <c r="A136" s="249"/>
      <c r="C136" s="287"/>
      <c r="D136" s="255"/>
    </row>
    <row r="138" spans="1:4">
      <c r="A138" s="232" t="s">
        <v>158</v>
      </c>
      <c r="B138" s="232"/>
      <c r="C138" s="232"/>
      <c r="D138" s="232"/>
    </row>
    <row r="139" spans="1:4">
      <c r="A139" s="249" t="s">
        <v>2</v>
      </c>
      <c r="B139" s="249" t="s">
        <v>159</v>
      </c>
      <c r="C139" s="249" t="s">
        <v>88</v>
      </c>
      <c r="D139" s="249" t="s">
        <v>5</v>
      </c>
    </row>
    <row r="140" spans="1:4">
      <c r="A140" s="249" t="s">
        <v>28</v>
      </c>
      <c r="B140" t="s">
        <v>22</v>
      </c>
      <c r="D140" s="255">
        <f>D31</f>
        <v>1148</v>
      </c>
    </row>
    <row r="141" spans="1:4">
      <c r="A141" s="249" t="s">
        <v>31</v>
      </c>
      <c r="B141" t="s">
        <v>47</v>
      </c>
      <c r="D141" s="255">
        <f>D72</f>
        <v>1228.24</v>
      </c>
    </row>
    <row r="142" spans="1:4">
      <c r="A142" s="249" t="s">
        <v>34</v>
      </c>
      <c r="B142" t="s">
        <v>94</v>
      </c>
      <c r="D142" s="255">
        <f>D82</f>
        <v>71.51</v>
      </c>
    </row>
    <row r="143" spans="1:4">
      <c r="A143" s="249" t="s">
        <v>36</v>
      </c>
      <c r="B143" t="s">
        <v>160</v>
      </c>
      <c r="D143" s="255">
        <f>D109</f>
        <v>64.78</v>
      </c>
    </row>
    <row r="144" spans="1:4">
      <c r="A144" s="249" t="s">
        <v>39</v>
      </c>
      <c r="B144" t="s">
        <v>138</v>
      </c>
      <c r="D144" s="255">
        <f>D118</f>
        <v>110.35</v>
      </c>
    </row>
    <row r="145" spans="2:4">
      <c r="B145" s="288" t="s">
        <v>161</v>
      </c>
      <c r="D145" s="255">
        <f>SUM(D140:D144)</f>
        <v>2622.88</v>
      </c>
    </row>
    <row r="146" spans="1:4">
      <c r="A146" s="249" t="s">
        <v>41</v>
      </c>
      <c r="B146" t="s">
        <v>150</v>
      </c>
      <c r="D146" s="255">
        <f>D135</f>
        <v>498.47</v>
      </c>
    </row>
    <row r="147" spans="1:4">
      <c r="A147" s="289"/>
      <c r="B147" s="290" t="s">
        <v>217</v>
      </c>
      <c r="C147" s="289"/>
      <c r="D147" s="291">
        <f>TRUNC((SUM(D140:D144)+D146),2)</f>
        <v>3121.35</v>
      </c>
    </row>
  </sheetData>
  <mergeCells count="33">
    <mergeCell ref="A2:D2"/>
    <mergeCell ref="A3:D3"/>
    <mergeCell ref="A6:D6"/>
    <mergeCell ref="C7:D7"/>
    <mergeCell ref="C8:D8"/>
    <mergeCell ref="C9:D9"/>
    <mergeCell ref="C10:D10"/>
    <mergeCell ref="A11:D11"/>
    <mergeCell ref="A12:B12"/>
    <mergeCell ref="A13:B13"/>
    <mergeCell ref="A14:B14"/>
    <mergeCell ref="A15:D15"/>
    <mergeCell ref="F15:G15"/>
    <mergeCell ref="F22:G22"/>
    <mergeCell ref="A23:D23"/>
    <mergeCell ref="F31:G31"/>
    <mergeCell ref="A33:D33"/>
    <mergeCell ref="A35:D35"/>
    <mergeCell ref="A45:D45"/>
    <mergeCell ref="A57:D57"/>
    <mergeCell ref="A67:D67"/>
    <mergeCell ref="A74:D74"/>
    <mergeCell ref="A89:D89"/>
    <mergeCell ref="A90:D90"/>
    <mergeCell ref="A100:D100"/>
    <mergeCell ref="A105:D105"/>
    <mergeCell ref="A111:D111"/>
    <mergeCell ref="A127:D127"/>
    <mergeCell ref="F128:G128"/>
    <mergeCell ref="A138:D138"/>
    <mergeCell ref="A41:B43"/>
    <mergeCell ref="A84:B87"/>
    <mergeCell ref="A120:B125"/>
  </mergeCells>
  <pageMargins left="0.75" right="0.75" top="1" bottom="1" header="0.5" footer="0.5"/>
  <pageSetup paperSize="9" orientation="landscape"/>
  <headerFooter/>
  <tableParts count="13">
    <tablePart r:id="rId1"/>
    <tablePart r:id="rId2"/>
    <tablePart r:id="rId3"/>
    <tablePart r:id="rId4"/>
    <tablePart r:id="rId5"/>
    <tablePart r:id="rId6"/>
    <tablePart r:id="rId7"/>
    <tablePart r:id="rId8"/>
    <tablePart r:id="rId9"/>
    <tablePart r:id="rId10"/>
    <tablePart r:id="rId11"/>
    <tablePart r:id="rId12"/>
    <tablePart r:id="rId13"/>
  </tableParts>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2:G148"/>
  <sheetViews>
    <sheetView workbookViewId="0">
      <selection activeCell="D148" sqref="A1:D148"/>
    </sheetView>
  </sheetViews>
  <sheetFormatPr defaultColWidth="9.14285714285714" defaultRowHeight="15" outlineLevelCol="6"/>
  <cols>
    <col min="1" max="1" width="10.5714285714286" customWidth="1"/>
    <col min="2" max="2" width="56.2857142857143" customWidth="1"/>
    <col min="3" max="3" width="31" customWidth="1"/>
    <col min="4" max="4" width="33.5714285714286" customWidth="1"/>
    <col min="6" max="6" width="22.8571428571429" customWidth="1"/>
    <col min="7" max="7" width="11.4285714285714" customWidth="1"/>
    <col min="9" max="9" width="11.4285714285714" customWidth="1"/>
  </cols>
  <sheetData>
    <row r="2" ht="19.5" spans="1:4">
      <c r="A2" s="225" t="s">
        <v>163</v>
      </c>
      <c r="B2" s="225"/>
      <c r="C2" s="225"/>
      <c r="D2" s="225"/>
    </row>
    <row r="3" ht="15.75" spans="1:4">
      <c r="A3" s="226" t="s">
        <v>164</v>
      </c>
      <c r="B3" s="226"/>
      <c r="C3" s="226"/>
      <c r="D3" s="226"/>
    </row>
    <row r="4" spans="1:4">
      <c r="A4" s="227" t="s">
        <v>165</v>
      </c>
      <c r="B4" s="228" t="s">
        <v>166</v>
      </c>
      <c r="C4" s="229"/>
      <c r="D4" s="229"/>
    </row>
    <row r="5" spans="1:4">
      <c r="A5" s="230"/>
      <c r="B5" s="231"/>
      <c r="C5" s="231"/>
      <c r="D5" s="231"/>
    </row>
    <row r="6" ht="15.75" spans="1:4">
      <c r="A6" s="232" t="s">
        <v>167</v>
      </c>
      <c r="B6" s="232"/>
      <c r="C6" s="232"/>
      <c r="D6" s="232"/>
    </row>
    <row r="7" ht="15.75" spans="1:4">
      <c r="A7" s="233" t="s">
        <v>28</v>
      </c>
      <c r="B7" s="234" t="s">
        <v>168</v>
      </c>
      <c r="C7" s="235" t="s">
        <v>169</v>
      </c>
      <c r="D7" s="235"/>
    </row>
    <row r="8" spans="1:4">
      <c r="A8" s="236" t="s">
        <v>31</v>
      </c>
      <c r="B8" s="237" t="s">
        <v>170</v>
      </c>
      <c r="C8" s="238" t="s">
        <v>171</v>
      </c>
      <c r="D8" s="238"/>
    </row>
    <row r="9" spans="1:4">
      <c r="A9" s="239" t="s">
        <v>34</v>
      </c>
      <c r="B9" s="240" t="s">
        <v>172</v>
      </c>
      <c r="C9" s="238" t="s">
        <v>173</v>
      </c>
      <c r="D9" s="238"/>
    </row>
    <row r="10" spans="1:4">
      <c r="A10" s="236" t="s">
        <v>39</v>
      </c>
      <c r="B10" s="237" t="s">
        <v>174</v>
      </c>
      <c r="C10" s="238" t="s">
        <v>175</v>
      </c>
      <c r="D10" s="238"/>
    </row>
    <row r="11" ht="15.75" spans="1:4">
      <c r="A11" s="241" t="s">
        <v>176</v>
      </c>
      <c r="B11" s="241"/>
      <c r="C11" s="241"/>
      <c r="D11" s="241"/>
    </row>
    <row r="12" ht="16.5" spans="1:4">
      <c r="A12" s="242" t="s">
        <v>177</v>
      </c>
      <c r="B12" s="242"/>
      <c r="C12" s="241" t="s">
        <v>178</v>
      </c>
      <c r="D12" s="243" t="s">
        <v>179</v>
      </c>
    </row>
    <row r="13" ht="15.75" spans="1:4">
      <c r="A13" s="244" t="s">
        <v>218</v>
      </c>
      <c r="B13" s="244"/>
      <c r="C13" s="238" t="s">
        <v>219</v>
      </c>
      <c r="D13" s="245">
        <f>RESUMO!D4</f>
        <v>1</v>
      </c>
    </row>
    <row r="14" spans="1:4">
      <c r="A14" s="246"/>
      <c r="B14" s="246"/>
      <c r="C14" s="238"/>
      <c r="D14" s="247"/>
    </row>
    <row r="15" ht="15.75" spans="1:7">
      <c r="A15" s="241" t="s">
        <v>0</v>
      </c>
      <c r="B15" s="241"/>
      <c r="C15" s="241"/>
      <c r="D15" s="241"/>
      <c r="F15" s="248"/>
      <c r="G15" s="248"/>
    </row>
    <row r="16" ht="15.75" spans="1:4">
      <c r="A16" s="249" t="s">
        <v>2</v>
      </c>
      <c r="B16" t="s">
        <v>3</v>
      </c>
      <c r="C16" s="249" t="s">
        <v>4</v>
      </c>
      <c r="D16" s="249" t="s">
        <v>5</v>
      </c>
    </row>
    <row r="17" spans="1:6">
      <c r="A17" s="249">
        <v>1</v>
      </c>
      <c r="B17" t="s">
        <v>6</v>
      </c>
      <c r="C17" s="250" t="s">
        <v>88</v>
      </c>
      <c r="D17" s="250" t="str">
        <f>A13</f>
        <v>Agente de Portaria</v>
      </c>
      <c r="F17" s="292"/>
    </row>
    <row r="18" spans="1:4">
      <c r="A18" s="249">
        <v>2</v>
      </c>
      <c r="B18" t="s">
        <v>9</v>
      </c>
      <c r="C18" s="250" t="s">
        <v>182</v>
      </c>
      <c r="D18" s="250" t="s">
        <v>220</v>
      </c>
    </row>
    <row r="19" spans="1:4">
      <c r="A19" s="249">
        <v>3</v>
      </c>
      <c r="B19" t="s">
        <v>12</v>
      </c>
      <c r="C19" s="250" t="str">
        <f>C9</f>
        <v>CCT PB000047/2021</v>
      </c>
      <c r="D19" s="222">
        <v>1124</v>
      </c>
    </row>
    <row r="20" spans="1:4">
      <c r="A20" s="249">
        <v>4</v>
      </c>
      <c r="B20" t="s">
        <v>15</v>
      </c>
      <c r="C20" s="250" t="str">
        <f>C9</f>
        <v>CCT PB000047/2021</v>
      </c>
      <c r="D20" s="251" t="s">
        <v>184</v>
      </c>
    </row>
    <row r="21" spans="1:4">
      <c r="A21" s="249">
        <v>5</v>
      </c>
      <c r="B21" t="s">
        <v>19</v>
      </c>
      <c r="C21" s="250" t="str">
        <f>C9</f>
        <v>CCT PB000047/2021</v>
      </c>
      <c r="D21" s="252" t="s">
        <v>185</v>
      </c>
    </row>
    <row r="22" spans="6:7">
      <c r="F22" s="248"/>
      <c r="G22" s="248"/>
    </row>
    <row r="23" spans="1:4">
      <c r="A23" s="232" t="s">
        <v>22</v>
      </c>
      <c r="B23" s="232"/>
      <c r="C23" s="232"/>
      <c r="D23" s="232"/>
    </row>
    <row r="24" spans="1:7">
      <c r="A24" s="249" t="s">
        <v>25</v>
      </c>
      <c r="B24" s="253" t="s">
        <v>26</v>
      </c>
      <c r="C24" s="249" t="s">
        <v>4</v>
      </c>
      <c r="D24" s="249" t="s">
        <v>5</v>
      </c>
      <c r="G24" s="254"/>
    </row>
    <row r="25" spans="1:7">
      <c r="A25" s="249" t="s">
        <v>28</v>
      </c>
      <c r="B25" t="s">
        <v>29</v>
      </c>
      <c r="C25" s="251" t="s">
        <v>221</v>
      </c>
      <c r="D25" s="222">
        <f>D19</f>
        <v>1124</v>
      </c>
      <c r="G25" s="254"/>
    </row>
    <row r="26" spans="1:7">
      <c r="A26" s="249" t="s">
        <v>31</v>
      </c>
      <c r="B26" t="s">
        <v>32</v>
      </c>
      <c r="C26" s="251"/>
      <c r="D26" s="222">
        <v>0</v>
      </c>
      <c r="G26" s="254"/>
    </row>
    <row r="27" spans="1:4">
      <c r="A27" s="249" t="s">
        <v>34</v>
      </c>
      <c r="B27" t="s">
        <v>35</v>
      </c>
      <c r="C27" s="251"/>
      <c r="D27" s="222">
        <v>0</v>
      </c>
    </row>
    <row r="28" spans="1:4">
      <c r="A28" s="249" t="s">
        <v>36</v>
      </c>
      <c r="B28" t="s">
        <v>37</v>
      </c>
      <c r="C28" s="251"/>
      <c r="D28" s="222">
        <v>0</v>
      </c>
    </row>
    <row r="29" spans="1:4">
      <c r="A29" s="249" t="s">
        <v>39</v>
      </c>
      <c r="B29" t="s">
        <v>40</v>
      </c>
      <c r="C29" s="251"/>
      <c r="D29" s="222">
        <v>0</v>
      </c>
    </row>
    <row r="30" spans="1:4">
      <c r="A30" s="249" t="s">
        <v>41</v>
      </c>
      <c r="B30" t="s">
        <v>42</v>
      </c>
      <c r="C30" s="251"/>
      <c r="D30" s="222">
        <v>0</v>
      </c>
    </row>
    <row r="31" spans="1:7">
      <c r="A31" s="249" t="s">
        <v>44</v>
      </c>
      <c r="C31" s="249"/>
      <c r="D31" s="255">
        <f>TRUNC((SUM(D25:D30)),2)</f>
        <v>1124</v>
      </c>
      <c r="F31" s="248"/>
      <c r="G31" s="248"/>
    </row>
    <row r="33" spans="1:7">
      <c r="A33" s="256" t="s">
        <v>47</v>
      </c>
      <c r="B33" s="256"/>
      <c r="C33" s="256"/>
      <c r="D33" s="256"/>
      <c r="G33" s="254"/>
    </row>
    <row r="35" spans="1:4">
      <c r="A35" s="248" t="s">
        <v>49</v>
      </c>
      <c r="B35" s="248"/>
      <c r="C35" s="248"/>
      <c r="D35" s="248"/>
    </row>
    <row r="36" spans="1:4">
      <c r="A36" s="249" t="s">
        <v>51</v>
      </c>
      <c r="B36" s="253" t="s">
        <v>52</v>
      </c>
      <c r="C36" s="249" t="s">
        <v>24</v>
      </c>
      <c r="D36" s="249" t="s">
        <v>5</v>
      </c>
    </row>
    <row r="37" spans="1:7">
      <c r="A37" s="249" t="s">
        <v>28</v>
      </c>
      <c r="B37" t="s">
        <v>53</v>
      </c>
      <c r="C37" s="257">
        <f>(1/12)</f>
        <v>0.0833333333333333</v>
      </c>
      <c r="D37" s="255">
        <f>TRUNC($D$31*C37,2)</f>
        <v>93.66</v>
      </c>
      <c r="F37" s="258"/>
      <c r="G37" s="258"/>
    </row>
    <row r="38" spans="1:7">
      <c r="A38" s="249" t="s">
        <v>31</v>
      </c>
      <c r="B38" t="s">
        <v>54</v>
      </c>
      <c r="C38" s="257">
        <f>(((1+1/3)/12))</f>
        <v>0.111111111111111</v>
      </c>
      <c r="D38" s="255">
        <f>TRUNC($D$31*C38,2)</f>
        <v>124.88</v>
      </c>
      <c r="F38" s="258"/>
      <c r="G38" s="258"/>
    </row>
    <row r="39" spans="1:7">
      <c r="A39" s="249" t="s">
        <v>44</v>
      </c>
      <c r="D39" s="255">
        <f>TRUNC((SUM(D37:D38)),2)</f>
        <v>218.54</v>
      </c>
      <c r="F39" s="258"/>
      <c r="G39" s="258"/>
    </row>
    <row r="40" ht="15.75" spans="4:7">
      <c r="D40" s="255"/>
      <c r="F40" s="258"/>
      <c r="G40" s="258"/>
    </row>
    <row r="41" ht="16.5" spans="1:7">
      <c r="A41" s="259" t="s">
        <v>187</v>
      </c>
      <c r="B41" s="259"/>
      <c r="C41" s="260" t="s">
        <v>188</v>
      </c>
      <c r="D41" s="261">
        <f>D31</f>
        <v>1124</v>
      </c>
      <c r="F41" s="258"/>
      <c r="G41" s="258"/>
    </row>
    <row r="42" ht="16.5" spans="1:7">
      <c r="A42" s="259"/>
      <c r="B42" s="259"/>
      <c r="C42" s="262" t="s">
        <v>189</v>
      </c>
      <c r="D42" s="261">
        <f>D39</f>
        <v>218.54</v>
      </c>
      <c r="F42" s="258"/>
      <c r="G42" s="258"/>
    </row>
    <row r="43" ht="16.5" spans="1:7">
      <c r="A43" s="259"/>
      <c r="B43" s="259"/>
      <c r="C43" s="260" t="s">
        <v>190</v>
      </c>
      <c r="D43" s="263">
        <f>TRUNC(SUM(D41:D42),2)</f>
        <v>1342.54</v>
      </c>
      <c r="F43" s="258"/>
      <c r="G43" s="258"/>
    </row>
    <row r="44" ht="15.75" spans="1:7">
      <c r="A44" s="249"/>
      <c r="C44" s="264"/>
      <c r="D44" s="255"/>
      <c r="F44" s="258"/>
      <c r="G44" s="258"/>
    </row>
    <row r="45" spans="1:4">
      <c r="A45" s="248" t="s">
        <v>63</v>
      </c>
      <c r="B45" s="248"/>
      <c r="C45" s="248"/>
      <c r="D45" s="248"/>
    </row>
    <row r="46" spans="1:4">
      <c r="A46" s="249" t="s">
        <v>64</v>
      </c>
      <c r="B46" s="253" t="s">
        <v>65</v>
      </c>
      <c r="C46" s="249" t="s">
        <v>24</v>
      </c>
      <c r="D46" s="249" t="s">
        <v>66</v>
      </c>
    </row>
    <row r="47" spans="1:4">
      <c r="A47" s="249" t="s">
        <v>28</v>
      </c>
      <c r="B47" t="s">
        <v>67</v>
      </c>
      <c r="C47" s="257">
        <v>0.2</v>
      </c>
      <c r="D47" s="293">
        <f t="shared" ref="D47:D54" si="0">TRUNC(($D$43*C47),2)</f>
        <v>268.5</v>
      </c>
    </row>
    <row r="48" spans="1:4">
      <c r="A48" s="249" t="s">
        <v>31</v>
      </c>
      <c r="B48" t="s">
        <v>68</v>
      </c>
      <c r="C48" s="257">
        <v>0.025</v>
      </c>
      <c r="D48" s="293">
        <f t="shared" si="0"/>
        <v>33.56</v>
      </c>
    </row>
    <row r="49" spans="1:4">
      <c r="A49" s="249" t="s">
        <v>34</v>
      </c>
      <c r="B49" t="s">
        <v>191</v>
      </c>
      <c r="C49" s="265">
        <v>0.06</v>
      </c>
      <c r="D49" s="293">
        <f t="shared" si="0"/>
        <v>80.55</v>
      </c>
    </row>
    <row r="50" spans="1:4">
      <c r="A50" s="249" t="s">
        <v>36</v>
      </c>
      <c r="B50" t="s">
        <v>70</v>
      </c>
      <c r="C50" s="257">
        <v>0.015</v>
      </c>
      <c r="D50" s="293">
        <f t="shared" si="0"/>
        <v>20.13</v>
      </c>
    </row>
    <row r="51" spans="1:4">
      <c r="A51" s="249" t="s">
        <v>39</v>
      </c>
      <c r="B51" t="s">
        <v>71</v>
      </c>
      <c r="C51" s="257">
        <v>0.01</v>
      </c>
      <c r="D51" s="293">
        <f t="shared" si="0"/>
        <v>13.42</v>
      </c>
    </row>
    <row r="52" spans="1:4">
      <c r="A52" s="249" t="s">
        <v>41</v>
      </c>
      <c r="B52" t="s">
        <v>72</v>
      </c>
      <c r="C52" s="257">
        <v>0.006</v>
      </c>
      <c r="D52" s="293">
        <f t="shared" si="0"/>
        <v>8.05</v>
      </c>
    </row>
    <row r="53" spans="1:4">
      <c r="A53" s="249" t="s">
        <v>73</v>
      </c>
      <c r="B53" t="s">
        <v>74</v>
      </c>
      <c r="C53" s="257">
        <v>0.002</v>
      </c>
      <c r="D53" s="293">
        <f t="shared" si="0"/>
        <v>2.68</v>
      </c>
    </row>
    <row r="54" spans="1:4">
      <c r="A54" s="249" t="s">
        <v>75</v>
      </c>
      <c r="B54" t="s">
        <v>76</v>
      </c>
      <c r="C54" s="257">
        <v>0.08</v>
      </c>
      <c r="D54" s="293">
        <f t="shared" si="0"/>
        <v>107.4</v>
      </c>
    </row>
    <row r="55" spans="1:4">
      <c r="A55" s="249" t="s">
        <v>44</v>
      </c>
      <c r="C55" s="264">
        <f>SUM(C47:C54)</f>
        <v>0.398</v>
      </c>
      <c r="D55" s="255">
        <f>TRUNC((SUM(D47:D54)),2)</f>
        <v>534.29</v>
      </c>
    </row>
    <row r="56" spans="1:4">
      <c r="A56" s="249"/>
      <c r="C56" s="264"/>
      <c r="D56" s="255"/>
    </row>
    <row r="57" spans="1:4">
      <c r="A57" s="248" t="s">
        <v>81</v>
      </c>
      <c r="B57" s="248"/>
      <c r="C57" s="248"/>
      <c r="D57" s="248"/>
    </row>
    <row r="58" spans="1:4">
      <c r="A58" s="249" t="s">
        <v>82</v>
      </c>
      <c r="B58" s="253" t="s">
        <v>83</v>
      </c>
      <c r="C58" s="249" t="s">
        <v>4</v>
      </c>
      <c r="D58" s="249" t="s">
        <v>5</v>
      </c>
    </row>
    <row r="59" spans="1:4">
      <c r="A59" s="249" t="s">
        <v>28</v>
      </c>
      <c r="B59" t="s">
        <v>84</v>
      </c>
      <c r="C59" s="250"/>
      <c r="D59" s="266">
        <f>TRUNC((((365/12/2)*4.35)*2)-((D25/100)*6),2)</f>
        <v>64.87</v>
      </c>
    </row>
    <row r="60" spans="1:4">
      <c r="A60" s="249" t="s">
        <v>31</v>
      </c>
      <c r="B60" t="s">
        <v>85</v>
      </c>
      <c r="C60" s="250" t="str">
        <f>C9</f>
        <v>CCT PB000047/2021</v>
      </c>
      <c r="D60" s="222">
        <f>TRUNC((((22*18))-(((22*18))*0.2)),2)</f>
        <v>316.8</v>
      </c>
    </row>
    <row r="61" spans="1:4">
      <c r="A61" s="249" t="s">
        <v>34</v>
      </c>
      <c r="B61" t="s">
        <v>86</v>
      </c>
      <c r="C61" s="250"/>
      <c r="D61" s="222">
        <v>0</v>
      </c>
    </row>
    <row r="62" spans="1:6">
      <c r="A62" s="267" t="s">
        <v>36</v>
      </c>
      <c r="B62" s="268" t="s">
        <v>192</v>
      </c>
      <c r="C62" s="198"/>
      <c r="D62" s="198">
        <f>TRUNC(((((($D$25+$D$26+$D$28+$D$29)/220)*1.5)*(365/12))/2),2)</f>
        <v>116.55</v>
      </c>
      <c r="F62" s="268"/>
    </row>
    <row r="63" spans="1:4">
      <c r="A63" s="249" t="s">
        <v>39</v>
      </c>
      <c r="B63" s="253" t="s">
        <v>193</v>
      </c>
      <c r="C63" s="250" t="str">
        <f>C60</f>
        <v>CCT PB000047/2021</v>
      </c>
      <c r="D63" s="222">
        <v>15</v>
      </c>
    </row>
    <row r="64" spans="1:4">
      <c r="A64" s="249" t="s">
        <v>41</v>
      </c>
      <c r="B64" s="269" t="s">
        <v>194</v>
      </c>
      <c r="C64" s="198" t="str">
        <f>C60</f>
        <v>CCT PB000047/2021</v>
      </c>
      <c r="D64" s="222">
        <v>5</v>
      </c>
    </row>
    <row r="65" spans="1:4">
      <c r="A65" s="249" t="s">
        <v>44</v>
      </c>
      <c r="D65" s="255">
        <f>TRUNC((SUM(D59:D64)),2)</f>
        <v>518.22</v>
      </c>
    </row>
    <row r="66" spans="1:4">
      <c r="A66" s="249"/>
      <c r="D66" s="255"/>
    </row>
    <row r="67" spans="1:4">
      <c r="A67" s="248" t="s">
        <v>91</v>
      </c>
      <c r="B67" s="248"/>
      <c r="C67" s="248"/>
      <c r="D67" s="248"/>
    </row>
    <row r="68" spans="1:4">
      <c r="A68" s="249" t="s">
        <v>92</v>
      </c>
      <c r="B68" s="253" t="s">
        <v>93</v>
      </c>
      <c r="C68" s="249" t="s">
        <v>4</v>
      </c>
      <c r="D68" s="249" t="s">
        <v>5</v>
      </c>
    </row>
    <row r="69" spans="1:4">
      <c r="A69" s="249" t="s">
        <v>51</v>
      </c>
      <c r="B69" t="s">
        <v>52</v>
      </c>
      <c r="C69" s="249"/>
      <c r="D69" s="255">
        <f>D39</f>
        <v>218.54</v>
      </c>
    </row>
    <row r="70" spans="1:4">
      <c r="A70" s="249" t="s">
        <v>64</v>
      </c>
      <c r="B70" t="s">
        <v>65</v>
      </c>
      <c r="C70" s="249"/>
      <c r="D70" s="255">
        <f>D55</f>
        <v>534.29</v>
      </c>
    </row>
    <row r="71" spans="1:4">
      <c r="A71" s="249" t="s">
        <v>82</v>
      </c>
      <c r="B71" t="s">
        <v>83</v>
      </c>
      <c r="C71" s="249"/>
      <c r="D71" s="255">
        <f>D65</f>
        <v>518.22</v>
      </c>
    </row>
    <row r="72" spans="1:4">
      <c r="A72" s="249" t="s">
        <v>44</v>
      </c>
      <c r="C72" s="249"/>
      <c r="D72" s="255">
        <f>TRUNC((SUM(D69:D71)),2)</f>
        <v>1271.05</v>
      </c>
    </row>
    <row r="74" spans="1:4">
      <c r="A74" s="232" t="s">
        <v>94</v>
      </c>
      <c r="B74" s="232"/>
      <c r="C74" s="232"/>
      <c r="D74" s="232"/>
    </row>
    <row r="75" spans="1:4">
      <c r="A75" s="249" t="s">
        <v>95</v>
      </c>
      <c r="B75" s="253" t="s">
        <v>96</v>
      </c>
      <c r="C75" s="249" t="s">
        <v>24</v>
      </c>
      <c r="D75" s="249" t="s">
        <v>5</v>
      </c>
    </row>
    <row r="76" spans="1:4">
      <c r="A76" s="249" t="s">
        <v>28</v>
      </c>
      <c r="B76" t="s">
        <v>97</v>
      </c>
      <c r="C76" s="265">
        <f>((1/12)*5%)</f>
        <v>0.00416666666666667</v>
      </c>
      <c r="D76" s="222">
        <f t="shared" ref="D76:D79" si="1">TRUNC(($D$31*C76),2)</f>
        <v>4.68</v>
      </c>
    </row>
    <row r="77" spans="1:4">
      <c r="A77" s="249" t="s">
        <v>31</v>
      </c>
      <c r="B77" t="s">
        <v>98</v>
      </c>
      <c r="C77" s="270">
        <v>0.08</v>
      </c>
      <c r="D77" s="255">
        <f>TRUNC(($D$76*C77),2)</f>
        <v>0.37</v>
      </c>
    </row>
    <row r="78" spans="1:4">
      <c r="A78" s="249" t="s">
        <v>34</v>
      </c>
      <c r="B78" s="271" t="s">
        <v>99</v>
      </c>
      <c r="C78" s="272">
        <f>(0.08*0.4*0.05)</f>
        <v>0.0016</v>
      </c>
      <c r="D78" s="198">
        <f t="shared" si="1"/>
        <v>1.79</v>
      </c>
    </row>
    <row r="79" spans="1:4">
      <c r="A79" s="249" t="s">
        <v>36</v>
      </c>
      <c r="B79" t="s">
        <v>100</v>
      </c>
      <c r="C79" s="273">
        <f>(((7/30)/12)*0.95)</f>
        <v>0.0184722222222222</v>
      </c>
      <c r="D79" s="274">
        <f t="shared" si="1"/>
        <v>20.76</v>
      </c>
    </row>
    <row r="80" spans="1:4">
      <c r="A80" s="249" t="s">
        <v>39</v>
      </c>
      <c r="B80" s="271" t="s">
        <v>195</v>
      </c>
      <c r="C80" s="272">
        <f>C55</f>
        <v>0.398</v>
      </c>
      <c r="D80" s="198">
        <f>TRUNC(($D$79*C80),2)</f>
        <v>8.26</v>
      </c>
    </row>
    <row r="81" spans="1:4">
      <c r="A81" s="249" t="s">
        <v>41</v>
      </c>
      <c r="B81" s="271" t="s">
        <v>101</v>
      </c>
      <c r="C81" s="272">
        <f>(0.08*0.4*0.95)</f>
        <v>0.0304</v>
      </c>
      <c r="D81" s="198">
        <f>TRUNC(($D$31*C81),2)</f>
        <v>34.16</v>
      </c>
    </row>
    <row r="82" spans="1:4">
      <c r="A82" s="249" t="s">
        <v>44</v>
      </c>
      <c r="C82" s="270">
        <f>SUM(C76:C81)</f>
        <v>0.532638888888889</v>
      </c>
      <c r="D82" s="255">
        <f>TRUNC((SUM(D76:D81)),2)</f>
        <v>70.02</v>
      </c>
    </row>
    <row r="83" ht="15.75" spans="1:4">
      <c r="A83" s="249"/>
      <c r="D83" s="255"/>
    </row>
    <row r="84" ht="16.5" spans="1:4">
      <c r="A84" s="259" t="s">
        <v>196</v>
      </c>
      <c r="B84" s="259"/>
      <c r="C84" s="260" t="s">
        <v>188</v>
      </c>
      <c r="D84" s="261">
        <f>D31</f>
        <v>1124</v>
      </c>
    </row>
    <row r="85" ht="16.5" spans="1:4">
      <c r="A85" s="259"/>
      <c r="B85" s="259"/>
      <c r="C85" s="262" t="s">
        <v>197</v>
      </c>
      <c r="D85" s="261">
        <f>D72</f>
        <v>1271.05</v>
      </c>
    </row>
    <row r="86" ht="16.5" spans="1:4">
      <c r="A86" s="259"/>
      <c r="B86" s="259"/>
      <c r="C86" s="260" t="s">
        <v>198</v>
      </c>
      <c r="D86" s="261">
        <f>D82</f>
        <v>70.02</v>
      </c>
    </row>
    <row r="87" ht="16.5" spans="1:4">
      <c r="A87" s="259"/>
      <c r="B87" s="259"/>
      <c r="C87" s="262" t="s">
        <v>190</v>
      </c>
      <c r="D87" s="263">
        <f>TRUNC((SUM(D84:D86)),2)</f>
        <v>2465.07</v>
      </c>
    </row>
    <row r="88" ht="15.75" spans="1:4">
      <c r="A88" s="249"/>
      <c r="D88" s="255"/>
    </row>
    <row r="89" spans="1:4">
      <c r="A89" s="275" t="s">
        <v>113</v>
      </c>
      <c r="B89" s="275"/>
      <c r="C89" s="275"/>
      <c r="D89" s="275"/>
    </row>
    <row r="90" spans="1:4">
      <c r="A90" s="248" t="s">
        <v>114</v>
      </c>
      <c r="B90" s="248"/>
      <c r="C90" s="248"/>
      <c r="D90" s="248"/>
    </row>
    <row r="91" spans="1:4">
      <c r="A91" s="249" t="s">
        <v>115</v>
      </c>
      <c r="B91" s="253" t="s">
        <v>116</v>
      </c>
      <c r="C91" s="249" t="s">
        <v>24</v>
      </c>
      <c r="D91" s="249" t="s">
        <v>5</v>
      </c>
    </row>
    <row r="92" spans="1:4">
      <c r="A92" s="249" t="s">
        <v>28</v>
      </c>
      <c r="B92" t="s">
        <v>199</v>
      </c>
      <c r="C92" s="270">
        <f>(((1+1/3)/12)/12)+((1/12)/12)</f>
        <v>0.0162037037037037</v>
      </c>
      <c r="D92" s="255">
        <f t="shared" ref="D92:D96" si="2">TRUNC(($D$87*C92),2)</f>
        <v>39.94</v>
      </c>
    </row>
    <row r="93" spans="1:4">
      <c r="A93" s="249" t="s">
        <v>31</v>
      </c>
      <c r="B93" t="s">
        <v>119</v>
      </c>
      <c r="C93" s="265">
        <f>((2/30)/12)</f>
        <v>0.00555555555555556</v>
      </c>
      <c r="D93" s="198">
        <f t="shared" si="2"/>
        <v>13.69</v>
      </c>
    </row>
    <row r="94" spans="1:4">
      <c r="A94" s="249" t="s">
        <v>34</v>
      </c>
      <c r="B94" t="s">
        <v>120</v>
      </c>
      <c r="C94" s="265">
        <f>((5/30)/12)*0.02</f>
        <v>0.000277777777777778</v>
      </c>
      <c r="D94" s="198">
        <f t="shared" si="2"/>
        <v>0.68</v>
      </c>
    </row>
    <row r="95" spans="1:4">
      <c r="A95" s="267" t="s">
        <v>36</v>
      </c>
      <c r="B95" s="271" t="s">
        <v>121</v>
      </c>
      <c r="C95" s="272">
        <f>((15/30)/12)*0.08</f>
        <v>0.00333333333333333</v>
      </c>
      <c r="D95" s="198">
        <f t="shared" si="2"/>
        <v>8.21</v>
      </c>
    </row>
    <row r="96" spans="1:4">
      <c r="A96" s="249" t="s">
        <v>39</v>
      </c>
      <c r="B96" t="s">
        <v>122</v>
      </c>
      <c r="C96" s="265">
        <f>((1+1/3)/12)*0.03*((4/12))</f>
        <v>0.00111111111111111</v>
      </c>
      <c r="D96" s="198">
        <f t="shared" si="2"/>
        <v>2.73</v>
      </c>
    </row>
    <row r="97" spans="1:4">
      <c r="A97" s="249" t="s">
        <v>41</v>
      </c>
      <c r="B97" s="271" t="s">
        <v>200</v>
      </c>
      <c r="C97" s="276">
        <v>0</v>
      </c>
      <c r="D97" s="198">
        <f>TRUNC($D$87*C97)</f>
        <v>0</v>
      </c>
    </row>
    <row r="98" spans="1:4">
      <c r="A98" s="249" t="s">
        <v>44</v>
      </c>
      <c r="C98" s="270">
        <f>SUM(C92:C97)</f>
        <v>0.0264814814814815</v>
      </c>
      <c r="D98" s="255">
        <f>TRUNC((SUM(D92:D97)),2)</f>
        <v>65.25</v>
      </c>
    </row>
    <row r="99" spans="1:4">
      <c r="A99" s="249"/>
      <c r="C99" s="249"/>
      <c r="D99" s="255"/>
    </row>
    <row r="100" spans="1:4">
      <c r="A100" s="248" t="s">
        <v>130</v>
      </c>
      <c r="B100" s="248"/>
      <c r="C100" s="248"/>
      <c r="D100" s="248"/>
    </row>
    <row r="101" spans="1:4">
      <c r="A101" s="249" t="s">
        <v>131</v>
      </c>
      <c r="B101" s="253" t="s">
        <v>132</v>
      </c>
      <c r="C101" s="249" t="s">
        <v>4</v>
      </c>
      <c r="D101" s="249" t="s">
        <v>5</v>
      </c>
    </row>
    <row r="102" ht="75" spans="1:4">
      <c r="A102" s="267" t="s">
        <v>28</v>
      </c>
      <c r="B102" s="277" t="s">
        <v>133</v>
      </c>
      <c r="C102" s="209" t="s">
        <v>201</v>
      </c>
      <c r="D102" s="210" t="s">
        <v>202</v>
      </c>
    </row>
    <row r="103" spans="1:4">
      <c r="A103" s="249" t="s">
        <v>44</v>
      </c>
      <c r="C103" s="249"/>
      <c r="D103" s="211" t="str">
        <f>D102</f>
        <v>*=TRUNCAR(($D$86/220)*(1*(365/12))/2)</v>
      </c>
    </row>
    <row r="105" spans="1:4">
      <c r="A105" s="248" t="s">
        <v>134</v>
      </c>
      <c r="B105" s="248"/>
      <c r="C105" s="248"/>
      <c r="D105" s="248"/>
    </row>
    <row r="106" spans="1:4">
      <c r="A106" s="249" t="s">
        <v>135</v>
      </c>
      <c r="B106" s="253" t="s">
        <v>136</v>
      </c>
      <c r="C106" s="249" t="s">
        <v>4</v>
      </c>
      <c r="D106" s="249" t="s">
        <v>5</v>
      </c>
    </row>
    <row r="107" spans="1:4">
      <c r="A107" s="249" t="s">
        <v>115</v>
      </c>
      <c r="B107" t="s">
        <v>116</v>
      </c>
      <c r="D107" s="222">
        <f>D98</f>
        <v>65.25</v>
      </c>
    </row>
    <row r="108" spans="1:4">
      <c r="A108" s="249" t="s">
        <v>131</v>
      </c>
      <c r="B108" t="s">
        <v>137</v>
      </c>
      <c r="C108" s="253"/>
      <c r="D108" s="279" t="str">
        <f>Submódulo4.260_55[[#Totals],[Valor]]</f>
        <v>*=TRUNCAR(($D$86/220)*(1*(365/12))/2)</v>
      </c>
    </row>
    <row r="109" ht="45" spans="1:4">
      <c r="A109" s="267" t="s">
        <v>44</v>
      </c>
      <c r="B109" s="268"/>
      <c r="C109" s="209" t="s">
        <v>203</v>
      </c>
      <c r="D109" s="280">
        <f>TRUNC((SUM(D107:D108)),2)</f>
        <v>65.25</v>
      </c>
    </row>
    <row r="111" spans="1:4">
      <c r="A111" s="232" t="s">
        <v>138</v>
      </c>
      <c r="B111" s="232"/>
      <c r="C111" s="232"/>
      <c r="D111" s="232"/>
    </row>
    <row r="112" spans="1:4">
      <c r="A112" s="267" t="s">
        <v>139</v>
      </c>
      <c r="B112" s="268" t="s">
        <v>140</v>
      </c>
      <c r="C112" s="267" t="s">
        <v>4</v>
      </c>
      <c r="D112" s="267" t="s">
        <v>5</v>
      </c>
    </row>
    <row r="113" spans="1:4">
      <c r="A113" s="249" t="s">
        <v>28</v>
      </c>
      <c r="B113" s="33" t="s">
        <v>204</v>
      </c>
      <c r="C113" s="91"/>
      <c r="D113" s="182">
        <f>Uniformes!G24</f>
        <v>71.61</v>
      </c>
    </row>
    <row r="114" spans="1:4">
      <c r="A114" s="249" t="s">
        <v>31</v>
      </c>
      <c r="B114" s="33" t="s">
        <v>205</v>
      </c>
      <c r="C114" s="91"/>
      <c r="D114" s="281">
        <f>EPC!E21</f>
        <v>17.95</v>
      </c>
    </row>
    <row r="115" spans="1:4">
      <c r="A115" s="249" t="s">
        <v>34</v>
      </c>
      <c r="B115" s="33" t="s">
        <v>142</v>
      </c>
      <c r="C115" s="91"/>
      <c r="D115" s="182">
        <f>'Materiais e Equipamentos'!G6</f>
        <v>9.32</v>
      </c>
    </row>
    <row r="116" spans="1:4">
      <c r="A116" s="249" t="s">
        <v>36</v>
      </c>
      <c r="B116" s="33" t="s">
        <v>143</v>
      </c>
      <c r="C116" s="91"/>
      <c r="D116" s="281">
        <v>0</v>
      </c>
    </row>
    <row r="117" spans="1:4">
      <c r="A117" s="249" t="s">
        <v>39</v>
      </c>
      <c r="B117" t="s">
        <v>206</v>
      </c>
      <c r="D117" s="222">
        <f>H116</f>
        <v>0</v>
      </c>
    </row>
    <row r="118" spans="1:4">
      <c r="A118" s="249" t="s">
        <v>44</v>
      </c>
      <c r="D118" s="255">
        <f>TRUNC(SUM(D113:D117),2)</f>
        <v>98.88</v>
      </c>
    </row>
    <row r="119" ht="15.75"/>
    <row r="120" ht="16.5" spans="1:4">
      <c r="A120" s="259" t="s">
        <v>207</v>
      </c>
      <c r="B120" s="259"/>
      <c r="C120" s="260" t="s">
        <v>188</v>
      </c>
      <c r="D120" s="261">
        <f>D31</f>
        <v>1124</v>
      </c>
    </row>
    <row r="121" ht="16.5" spans="1:4">
      <c r="A121" s="259"/>
      <c r="B121" s="259"/>
      <c r="C121" s="262" t="s">
        <v>197</v>
      </c>
      <c r="D121" s="261">
        <f>D72</f>
        <v>1271.05</v>
      </c>
    </row>
    <row r="122" ht="16.5" spans="1:4">
      <c r="A122" s="259"/>
      <c r="B122" s="259"/>
      <c r="C122" s="260" t="s">
        <v>198</v>
      </c>
      <c r="D122" s="261">
        <f>D82</f>
        <v>70.02</v>
      </c>
    </row>
    <row r="123" ht="16.5" spans="1:4">
      <c r="A123" s="259"/>
      <c r="B123" s="259"/>
      <c r="C123" s="262" t="s">
        <v>208</v>
      </c>
      <c r="D123" s="261">
        <f>D109</f>
        <v>65.25</v>
      </c>
    </row>
    <row r="124" ht="16.5" spans="1:4">
      <c r="A124" s="259"/>
      <c r="B124" s="259"/>
      <c r="C124" s="260" t="s">
        <v>209</v>
      </c>
      <c r="D124" s="261">
        <f>D118</f>
        <v>98.88</v>
      </c>
    </row>
    <row r="125" ht="16.5" spans="1:4">
      <c r="A125" s="259"/>
      <c r="B125" s="259"/>
      <c r="C125" s="262" t="s">
        <v>190</v>
      </c>
      <c r="D125" s="263">
        <f>TRUNC((SUM(D120:D124)),2)</f>
        <v>2629.2</v>
      </c>
    </row>
    <row r="126" ht="15.75"/>
    <row r="127" spans="1:4">
      <c r="A127" s="232" t="s">
        <v>150</v>
      </c>
      <c r="B127" s="232"/>
      <c r="C127" s="232"/>
      <c r="D127" s="232"/>
    </row>
    <row r="128" spans="1:7">
      <c r="A128" s="249" t="s">
        <v>151</v>
      </c>
      <c r="B128" t="s">
        <v>152</v>
      </c>
      <c r="C128" s="249" t="s">
        <v>24</v>
      </c>
      <c r="D128" s="249" t="s">
        <v>5</v>
      </c>
      <c r="F128" s="282" t="s">
        <v>210</v>
      </c>
      <c r="G128" s="282"/>
    </row>
    <row r="129" ht="15.75" spans="1:7">
      <c r="A129" s="249" t="s">
        <v>28</v>
      </c>
      <c r="B129" t="s">
        <v>153</v>
      </c>
      <c r="C129" s="195">
        <v>0.044</v>
      </c>
      <c r="D129" s="182">
        <f>TRUNC(($D$125*C129),2)</f>
        <v>115.68</v>
      </c>
      <c r="F129" s="283" t="s">
        <v>211</v>
      </c>
      <c r="G129" s="272">
        <f>C131</f>
        <v>0.0865</v>
      </c>
    </row>
    <row r="130" ht="15.75" spans="1:7">
      <c r="A130" s="249" t="s">
        <v>31</v>
      </c>
      <c r="B130" t="s">
        <v>45</v>
      </c>
      <c r="C130" s="195">
        <v>0.0413</v>
      </c>
      <c r="D130" s="182">
        <f>TRUNC((C130*(D125+D129)),2)</f>
        <v>113.36</v>
      </c>
      <c r="F130" s="284" t="s">
        <v>212</v>
      </c>
      <c r="G130" s="294">
        <f>TRUNC(SUM(D125,D129,D130),2)</f>
        <v>2858.24</v>
      </c>
    </row>
    <row r="131" spans="1:7">
      <c r="A131" s="249" t="s">
        <v>34</v>
      </c>
      <c r="B131" t="s">
        <v>154</v>
      </c>
      <c r="C131" s="195">
        <f>SUM(C132:C134)</f>
        <v>0.0865</v>
      </c>
      <c r="D131" s="281">
        <f>TRUNC((SUM(D132:D134)),2)</f>
        <v>270.63</v>
      </c>
      <c r="F131" s="283" t="s">
        <v>213</v>
      </c>
      <c r="G131" s="286">
        <f>(100-8.65)/100</f>
        <v>0.9135</v>
      </c>
    </row>
    <row r="132" ht="15.75" spans="1:7">
      <c r="A132" s="249"/>
      <c r="B132" t="s">
        <v>214</v>
      </c>
      <c r="C132" s="195">
        <v>0.0065</v>
      </c>
      <c r="D132" s="281">
        <f t="shared" ref="D132:D134" si="3">TRUNC(($G$132*C132),2)</f>
        <v>20.33</v>
      </c>
      <c r="F132" s="284" t="s">
        <v>210</v>
      </c>
      <c r="G132" s="294">
        <f>TRUNC((G130/G131),2)</f>
        <v>3128.88</v>
      </c>
    </row>
    <row r="133" ht="15.75" spans="1:4">
      <c r="A133" s="249"/>
      <c r="B133" t="s">
        <v>215</v>
      </c>
      <c r="C133" s="265">
        <v>0.03</v>
      </c>
      <c r="D133" s="222">
        <f t="shared" si="3"/>
        <v>93.86</v>
      </c>
    </row>
    <row r="134" spans="1:4">
      <c r="A134" s="249"/>
      <c r="B134" t="s">
        <v>216</v>
      </c>
      <c r="C134" s="265">
        <v>0.05</v>
      </c>
      <c r="D134" s="222">
        <f t="shared" si="3"/>
        <v>156.44</v>
      </c>
    </row>
    <row r="135" spans="1:4">
      <c r="A135" s="249" t="s">
        <v>44</v>
      </c>
      <c r="C135" s="287"/>
      <c r="D135" s="255">
        <f>TRUNC(SUM(D129:D131),2)</f>
        <v>499.67</v>
      </c>
    </row>
    <row r="136" spans="1:4">
      <c r="A136" s="249"/>
      <c r="C136" s="287"/>
      <c r="D136" s="255"/>
    </row>
    <row r="138" spans="1:4">
      <c r="A138" s="232" t="s">
        <v>158</v>
      </c>
      <c r="B138" s="232"/>
      <c r="C138" s="232"/>
      <c r="D138" s="232"/>
    </row>
    <row r="139" spans="1:4">
      <c r="A139" s="249" t="s">
        <v>2</v>
      </c>
      <c r="B139" s="249" t="s">
        <v>159</v>
      </c>
      <c r="C139" s="249" t="s">
        <v>88</v>
      </c>
      <c r="D139" s="249" t="s">
        <v>5</v>
      </c>
    </row>
    <row r="140" spans="1:4">
      <c r="A140" s="249" t="s">
        <v>28</v>
      </c>
      <c r="B140" t="s">
        <v>22</v>
      </c>
      <c r="D140" s="255">
        <f>D31</f>
        <v>1124</v>
      </c>
    </row>
    <row r="141" spans="1:4">
      <c r="A141" s="249" t="s">
        <v>31</v>
      </c>
      <c r="B141" t="s">
        <v>47</v>
      </c>
      <c r="D141" s="255">
        <f>D72</f>
        <v>1271.05</v>
      </c>
    </row>
    <row r="142" spans="1:4">
      <c r="A142" s="249" t="s">
        <v>34</v>
      </c>
      <c r="B142" t="s">
        <v>94</v>
      </c>
      <c r="D142" s="255">
        <f>D82</f>
        <v>70.02</v>
      </c>
    </row>
    <row r="143" spans="1:4">
      <c r="A143" s="249" t="s">
        <v>36</v>
      </c>
      <c r="B143" t="s">
        <v>160</v>
      </c>
      <c r="D143" s="255">
        <f>D109</f>
        <v>65.25</v>
      </c>
    </row>
    <row r="144" spans="1:4">
      <c r="A144" s="249" t="s">
        <v>39</v>
      </c>
      <c r="B144" t="s">
        <v>138</v>
      </c>
      <c r="D144" s="255">
        <f>D118</f>
        <v>98.88</v>
      </c>
    </row>
    <row r="145" spans="2:4">
      <c r="B145" s="288" t="s">
        <v>161</v>
      </c>
      <c r="D145" s="255">
        <f>TRUNC(SUM(D140:D144),2)</f>
        <v>2629.2</v>
      </c>
    </row>
    <row r="146" spans="1:4">
      <c r="A146" s="249" t="s">
        <v>41</v>
      </c>
      <c r="B146" t="s">
        <v>150</v>
      </c>
      <c r="D146" s="255">
        <f>D135</f>
        <v>499.67</v>
      </c>
    </row>
    <row r="147" spans="1:4">
      <c r="A147" s="289"/>
      <c r="B147" s="290" t="s">
        <v>217</v>
      </c>
      <c r="C147" s="289"/>
      <c r="D147" s="291">
        <f>TRUNC((SUM(D140:D144)+D146),2)</f>
        <v>3128.87</v>
      </c>
    </row>
    <row r="148" spans="1:4">
      <c r="A148" s="295"/>
      <c r="B148" s="296" t="s">
        <v>222</v>
      </c>
      <c r="C148" s="295"/>
      <c r="D148" s="297">
        <f>TRUNC(D147*2,2)</f>
        <v>6257.74</v>
      </c>
    </row>
  </sheetData>
  <mergeCells count="33">
    <mergeCell ref="A2:D2"/>
    <mergeCell ref="A3:D3"/>
    <mergeCell ref="A6:D6"/>
    <mergeCell ref="C7:D7"/>
    <mergeCell ref="C8:D8"/>
    <mergeCell ref="C9:D9"/>
    <mergeCell ref="C10:D10"/>
    <mergeCell ref="A11:D11"/>
    <mergeCell ref="A12:B12"/>
    <mergeCell ref="A13:B13"/>
    <mergeCell ref="A14:B14"/>
    <mergeCell ref="A15:D15"/>
    <mergeCell ref="F15:G15"/>
    <mergeCell ref="F22:G22"/>
    <mergeCell ref="A23:D23"/>
    <mergeCell ref="F31:G31"/>
    <mergeCell ref="A33:D33"/>
    <mergeCell ref="A35:D35"/>
    <mergeCell ref="A45:D45"/>
    <mergeCell ref="A57:D57"/>
    <mergeCell ref="A67:D67"/>
    <mergeCell ref="A74:D74"/>
    <mergeCell ref="A89:D89"/>
    <mergeCell ref="A90:D90"/>
    <mergeCell ref="A100:D100"/>
    <mergeCell ref="A105:D105"/>
    <mergeCell ref="A111:D111"/>
    <mergeCell ref="A127:D127"/>
    <mergeCell ref="F128:G128"/>
    <mergeCell ref="A138:D138"/>
    <mergeCell ref="A41:B43"/>
    <mergeCell ref="A84:B87"/>
    <mergeCell ref="A120:B125"/>
  </mergeCells>
  <pageMargins left="0.75" right="0.75" top="1" bottom="1" header="0.5" footer="0.5"/>
  <pageSetup paperSize="9" orientation="landscape"/>
  <headerFooter/>
  <tableParts count="13">
    <tablePart r:id="rId1"/>
    <tablePart r:id="rId2"/>
    <tablePart r:id="rId3"/>
    <tablePart r:id="rId4"/>
    <tablePart r:id="rId5"/>
    <tablePart r:id="rId6"/>
    <tablePart r:id="rId7"/>
    <tablePart r:id="rId8"/>
    <tablePart r:id="rId9"/>
    <tablePart r:id="rId10"/>
    <tablePart r:id="rId11"/>
    <tablePart r:id="rId12"/>
    <tablePart r:id="rId13"/>
  </tableParts>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2:G149"/>
  <sheetViews>
    <sheetView topLeftCell="A2" workbookViewId="0">
      <selection activeCell="D149" sqref="A2:D149"/>
    </sheetView>
  </sheetViews>
  <sheetFormatPr defaultColWidth="9.14285714285714" defaultRowHeight="15" outlineLevelCol="6"/>
  <cols>
    <col min="1" max="1" width="11.1428571428571" customWidth="1"/>
    <col min="2" max="2" width="50" customWidth="1"/>
    <col min="3" max="3" width="30.4285714285714" customWidth="1"/>
    <col min="4" max="4" width="41" customWidth="1"/>
    <col min="6" max="6" width="22.8571428571429" customWidth="1"/>
    <col min="7" max="7" width="13.647619047619" customWidth="1"/>
    <col min="8" max="8" width="10.952380952381" customWidth="1"/>
    <col min="9" max="9" width="11.4285714285714" customWidth="1"/>
  </cols>
  <sheetData>
    <row r="2" ht="19.5" spans="1:4">
      <c r="A2" s="225" t="s">
        <v>163</v>
      </c>
      <c r="B2" s="225"/>
      <c r="C2" s="225"/>
      <c r="D2" s="225"/>
    </row>
    <row r="3" ht="15.75" spans="1:4">
      <c r="A3" s="226" t="s">
        <v>164</v>
      </c>
      <c r="B3" s="226"/>
      <c r="C3" s="226"/>
      <c r="D3" s="226"/>
    </row>
    <row r="4" spans="1:4">
      <c r="A4" s="227" t="s">
        <v>165</v>
      </c>
      <c r="B4" s="228" t="s">
        <v>166</v>
      </c>
      <c r="C4" s="229"/>
      <c r="D4" s="229"/>
    </row>
    <row r="5" spans="1:4">
      <c r="A5" s="230"/>
      <c r="B5" s="231"/>
      <c r="C5" s="231"/>
      <c r="D5" s="231"/>
    </row>
    <row r="6" ht="15.75" spans="1:4">
      <c r="A6" s="232" t="s">
        <v>167</v>
      </c>
      <c r="B6" s="232"/>
      <c r="C6" s="232"/>
      <c r="D6" s="232"/>
    </row>
    <row r="7" ht="15.75" spans="1:4">
      <c r="A7" s="233" t="s">
        <v>28</v>
      </c>
      <c r="B7" s="234" t="s">
        <v>168</v>
      </c>
      <c r="C7" s="235" t="s">
        <v>169</v>
      </c>
      <c r="D7" s="235"/>
    </row>
    <row r="8" spans="1:4">
      <c r="A8" s="236" t="s">
        <v>31</v>
      </c>
      <c r="B8" s="237" t="s">
        <v>170</v>
      </c>
      <c r="C8" s="238" t="s">
        <v>171</v>
      </c>
      <c r="D8" s="238"/>
    </row>
    <row r="9" spans="1:4">
      <c r="A9" s="239" t="s">
        <v>34</v>
      </c>
      <c r="B9" s="240" t="s">
        <v>172</v>
      </c>
      <c r="C9" s="238" t="s">
        <v>223</v>
      </c>
      <c r="D9" s="238"/>
    </row>
    <row r="10" spans="1:4">
      <c r="A10" s="236" t="s">
        <v>39</v>
      </c>
      <c r="B10" s="237" t="s">
        <v>174</v>
      </c>
      <c r="C10" s="238" t="s">
        <v>175</v>
      </c>
      <c r="D10" s="238"/>
    </row>
    <row r="11" ht="15.75" spans="1:4">
      <c r="A11" s="241" t="s">
        <v>176</v>
      </c>
      <c r="B11" s="241"/>
      <c r="C11" s="241"/>
      <c r="D11" s="241"/>
    </row>
    <row r="12" ht="16.5" spans="1:4">
      <c r="A12" s="242" t="s">
        <v>177</v>
      </c>
      <c r="B12" s="242"/>
      <c r="C12" s="241" t="s">
        <v>178</v>
      </c>
      <c r="D12" s="243" t="s">
        <v>179</v>
      </c>
    </row>
    <row r="13" ht="15.75" spans="1:4">
      <c r="A13" s="244" t="s">
        <v>224</v>
      </c>
      <c r="B13" s="244"/>
      <c r="C13" s="238" t="s">
        <v>181</v>
      </c>
      <c r="D13" s="245">
        <f>RESUMO!D5</f>
        <v>1</v>
      </c>
    </row>
    <row r="14" spans="1:4">
      <c r="A14" s="246"/>
      <c r="B14" s="246"/>
      <c r="C14" s="238"/>
      <c r="D14" s="247"/>
    </row>
    <row r="15" ht="15.75" spans="1:7">
      <c r="A15" s="241" t="s">
        <v>0</v>
      </c>
      <c r="B15" s="241"/>
      <c r="C15" s="241"/>
      <c r="D15" s="241"/>
      <c r="F15" s="248"/>
      <c r="G15" s="248"/>
    </row>
    <row r="16" ht="15.75" spans="1:4">
      <c r="A16" s="249" t="s">
        <v>2</v>
      </c>
      <c r="B16" t="s">
        <v>3</v>
      </c>
      <c r="C16" s="249" t="s">
        <v>4</v>
      </c>
      <c r="D16" s="249" t="s">
        <v>5</v>
      </c>
    </row>
    <row r="17" spans="1:4">
      <c r="A17" s="249">
        <v>1</v>
      </c>
      <c r="B17" t="s">
        <v>6</v>
      </c>
      <c r="C17" s="250" t="s">
        <v>88</v>
      </c>
      <c r="D17" s="250" t="str">
        <f>A13</f>
        <v>Motorista Interestadual</v>
      </c>
    </row>
    <row r="18" spans="1:4">
      <c r="A18" s="249">
        <v>2</v>
      </c>
      <c r="B18" t="s">
        <v>9</v>
      </c>
      <c r="C18" s="250" t="s">
        <v>182</v>
      </c>
      <c r="D18" s="250" t="s">
        <v>225</v>
      </c>
    </row>
    <row r="19" spans="1:4">
      <c r="A19" s="249">
        <v>3</v>
      </c>
      <c r="B19" t="s">
        <v>12</v>
      </c>
      <c r="C19" s="250" t="str">
        <f>C9</f>
        <v>CCT PB000035/2019*</v>
      </c>
      <c r="D19" s="222">
        <v>2629</v>
      </c>
    </row>
    <row r="20" spans="1:4">
      <c r="A20" s="249">
        <v>4</v>
      </c>
      <c r="B20" t="s">
        <v>15</v>
      </c>
      <c r="C20" s="250" t="str">
        <f>C9</f>
        <v>CCT PB000035/2019*</v>
      </c>
      <c r="D20" s="251" t="s">
        <v>226</v>
      </c>
    </row>
    <row r="21" spans="1:4">
      <c r="A21" s="249">
        <v>5</v>
      </c>
      <c r="B21" t="s">
        <v>19</v>
      </c>
      <c r="C21" s="250" t="str">
        <f>C9</f>
        <v>CCT PB000035/2019*</v>
      </c>
      <c r="D21" s="252" t="s">
        <v>185</v>
      </c>
    </row>
    <row r="22" spans="6:7">
      <c r="F22" s="248"/>
      <c r="G22" s="248"/>
    </row>
    <row r="23" spans="1:4">
      <c r="A23" s="232" t="s">
        <v>22</v>
      </c>
      <c r="B23" s="232"/>
      <c r="C23" s="232"/>
      <c r="D23" s="232"/>
    </row>
    <row r="24" spans="1:7">
      <c r="A24" s="249" t="s">
        <v>25</v>
      </c>
      <c r="B24" s="253" t="s">
        <v>26</v>
      </c>
      <c r="C24" s="249" t="s">
        <v>4</v>
      </c>
      <c r="D24" s="249" t="s">
        <v>5</v>
      </c>
      <c r="G24" s="254"/>
    </row>
    <row r="25" spans="1:7">
      <c r="A25" s="249" t="s">
        <v>28</v>
      </c>
      <c r="B25" t="s">
        <v>29</v>
      </c>
      <c r="C25" s="251" t="str">
        <f>C9</f>
        <v>CCT PB000035/2019*</v>
      </c>
      <c r="D25" s="222">
        <f>D19</f>
        <v>2629</v>
      </c>
      <c r="G25" s="254"/>
    </row>
    <row r="26" spans="1:7">
      <c r="A26" s="249" t="s">
        <v>31</v>
      </c>
      <c r="B26" t="s">
        <v>32</v>
      </c>
      <c r="C26" s="251"/>
      <c r="D26" s="222">
        <v>0</v>
      </c>
      <c r="G26" s="254"/>
    </row>
    <row r="27" spans="1:4">
      <c r="A27" s="249" t="s">
        <v>34</v>
      </c>
      <c r="B27" t="s">
        <v>35</v>
      </c>
      <c r="C27" s="251"/>
      <c r="D27" s="222">
        <v>0</v>
      </c>
    </row>
    <row r="28" spans="1:4">
      <c r="A28" s="249" t="s">
        <v>36</v>
      </c>
      <c r="B28" t="s">
        <v>37</v>
      </c>
      <c r="C28" s="251"/>
      <c r="D28" s="222">
        <v>0</v>
      </c>
    </row>
    <row r="29" spans="1:4">
      <c r="A29" s="249" t="s">
        <v>39</v>
      </c>
      <c r="B29" t="s">
        <v>40</v>
      </c>
      <c r="C29" s="251"/>
      <c r="D29" s="222">
        <v>0</v>
      </c>
    </row>
    <row r="30" spans="1:4">
      <c r="A30" s="249" t="s">
        <v>41</v>
      </c>
      <c r="B30" t="s">
        <v>42</v>
      </c>
      <c r="C30" s="251"/>
      <c r="D30" s="222">
        <v>0</v>
      </c>
    </row>
    <row r="31" spans="1:7">
      <c r="A31" s="249" t="s">
        <v>44</v>
      </c>
      <c r="C31" s="249"/>
      <c r="D31" s="255">
        <f>TRUNC(SUM(D25:D30),2)</f>
        <v>2629</v>
      </c>
      <c r="F31" s="248"/>
      <c r="G31" s="248"/>
    </row>
    <row r="33" spans="1:7">
      <c r="A33" s="256" t="s">
        <v>47</v>
      </c>
      <c r="B33" s="256"/>
      <c r="C33" s="256"/>
      <c r="D33" s="256"/>
      <c r="G33" s="254"/>
    </row>
    <row r="35" spans="1:4">
      <c r="A35" s="248" t="s">
        <v>49</v>
      </c>
      <c r="B35" s="248"/>
      <c r="C35" s="248"/>
      <c r="D35" s="248"/>
    </row>
    <row r="36" spans="1:4">
      <c r="A36" s="249" t="s">
        <v>51</v>
      </c>
      <c r="B36" s="253" t="s">
        <v>52</v>
      </c>
      <c r="C36" s="249" t="s">
        <v>24</v>
      </c>
      <c r="D36" s="249" t="s">
        <v>5</v>
      </c>
    </row>
    <row r="37" spans="1:7">
      <c r="A37" s="249" t="s">
        <v>28</v>
      </c>
      <c r="B37" t="s">
        <v>53</v>
      </c>
      <c r="C37" s="257">
        <f>(1/12)</f>
        <v>0.0833333333333333</v>
      </c>
      <c r="D37" s="255">
        <f>TRUNC($D$31*C37,2)</f>
        <v>219.08</v>
      </c>
      <c r="F37" s="258"/>
      <c r="G37" s="258"/>
    </row>
    <row r="38" spans="1:7">
      <c r="A38" s="249" t="s">
        <v>31</v>
      </c>
      <c r="B38" t="s">
        <v>54</v>
      </c>
      <c r="C38" s="257">
        <f>(((1+1/3)/12))</f>
        <v>0.111111111111111</v>
      </c>
      <c r="D38" s="255">
        <f>TRUNC($D$31*C38,2)</f>
        <v>292.11</v>
      </c>
      <c r="F38" s="258"/>
      <c r="G38" s="258"/>
    </row>
    <row r="39" spans="1:7">
      <c r="A39" s="249" t="s">
        <v>44</v>
      </c>
      <c r="D39" s="255">
        <f>TRUNC((SUM(D37:D38)),2)</f>
        <v>511.19</v>
      </c>
      <c r="F39" s="258"/>
      <c r="G39" s="258"/>
    </row>
    <row r="40" ht="15.75" spans="4:7">
      <c r="D40" s="255"/>
      <c r="F40" s="258"/>
      <c r="G40" s="258"/>
    </row>
    <row r="41" ht="16.5" spans="1:7">
      <c r="A41" s="259" t="s">
        <v>187</v>
      </c>
      <c r="B41" s="259"/>
      <c r="C41" s="260" t="s">
        <v>188</v>
      </c>
      <c r="D41" s="261">
        <f>D31</f>
        <v>2629</v>
      </c>
      <c r="F41" s="258"/>
      <c r="G41" s="258"/>
    </row>
    <row r="42" ht="16.5" spans="1:7">
      <c r="A42" s="259"/>
      <c r="B42" s="259"/>
      <c r="C42" s="262" t="s">
        <v>189</v>
      </c>
      <c r="D42" s="261">
        <f>D39</f>
        <v>511.19</v>
      </c>
      <c r="F42" s="258"/>
      <c r="G42" s="258"/>
    </row>
    <row r="43" ht="16.5" spans="1:7">
      <c r="A43" s="259"/>
      <c r="B43" s="259"/>
      <c r="C43" s="260" t="s">
        <v>190</v>
      </c>
      <c r="D43" s="263">
        <f>TRUNC((SUM(D41:D42)),2)</f>
        <v>3140.19</v>
      </c>
      <c r="F43" s="258"/>
      <c r="G43" s="258"/>
    </row>
    <row r="44" ht="15.75" spans="1:7">
      <c r="A44" s="249"/>
      <c r="C44" s="264"/>
      <c r="D44" s="255"/>
      <c r="F44" s="258"/>
      <c r="G44" s="258"/>
    </row>
    <row r="45" spans="1:4">
      <c r="A45" s="248" t="s">
        <v>63</v>
      </c>
      <c r="B45" s="248"/>
      <c r="C45" s="248"/>
      <c r="D45" s="248"/>
    </row>
    <row r="46" spans="1:4">
      <c r="A46" s="249" t="s">
        <v>64</v>
      </c>
      <c r="B46" s="253" t="s">
        <v>65</v>
      </c>
      <c r="C46" s="249" t="s">
        <v>24</v>
      </c>
      <c r="D46" s="249" t="s">
        <v>66</v>
      </c>
    </row>
    <row r="47" spans="1:4">
      <c r="A47" s="249" t="s">
        <v>28</v>
      </c>
      <c r="B47" t="s">
        <v>67</v>
      </c>
      <c r="C47" s="257">
        <v>0.2</v>
      </c>
      <c r="D47" s="255">
        <f t="shared" ref="D47:D54" si="0">TRUNC(($D$43*C47),2)</f>
        <v>628.03</v>
      </c>
    </row>
    <row r="48" spans="1:4">
      <c r="A48" s="249" t="s">
        <v>31</v>
      </c>
      <c r="B48" t="s">
        <v>68</v>
      </c>
      <c r="C48" s="257">
        <v>0.025</v>
      </c>
      <c r="D48" s="255">
        <f t="shared" si="0"/>
        <v>78.5</v>
      </c>
    </row>
    <row r="49" spans="1:4">
      <c r="A49" s="249" t="s">
        <v>34</v>
      </c>
      <c r="B49" t="s">
        <v>191</v>
      </c>
      <c r="C49" s="265">
        <v>0.06</v>
      </c>
      <c r="D49" s="222">
        <f t="shared" si="0"/>
        <v>188.41</v>
      </c>
    </row>
    <row r="50" spans="1:4">
      <c r="A50" s="249" t="s">
        <v>36</v>
      </c>
      <c r="B50" t="s">
        <v>70</v>
      </c>
      <c r="C50" s="257">
        <v>0.015</v>
      </c>
      <c r="D50" s="255">
        <f t="shared" si="0"/>
        <v>47.1</v>
      </c>
    </row>
    <row r="51" spans="1:4">
      <c r="A51" s="249" t="s">
        <v>39</v>
      </c>
      <c r="B51" t="s">
        <v>71</v>
      </c>
      <c r="C51" s="257">
        <v>0.01</v>
      </c>
      <c r="D51" s="255">
        <f t="shared" si="0"/>
        <v>31.4</v>
      </c>
    </row>
    <row r="52" spans="1:4">
      <c r="A52" s="249" t="s">
        <v>41</v>
      </c>
      <c r="B52" t="s">
        <v>72</v>
      </c>
      <c r="C52" s="257">
        <v>0.006</v>
      </c>
      <c r="D52" s="255">
        <f t="shared" si="0"/>
        <v>18.84</v>
      </c>
    </row>
    <row r="53" spans="1:4">
      <c r="A53" s="249" t="s">
        <v>73</v>
      </c>
      <c r="B53" t="s">
        <v>74</v>
      </c>
      <c r="C53" s="257">
        <v>0.002</v>
      </c>
      <c r="D53" s="255">
        <f t="shared" si="0"/>
        <v>6.28</v>
      </c>
    </row>
    <row r="54" spans="1:4">
      <c r="A54" s="249" t="s">
        <v>75</v>
      </c>
      <c r="B54" t="s">
        <v>76</v>
      </c>
      <c r="C54" s="257">
        <v>0.08</v>
      </c>
      <c r="D54" s="255">
        <f t="shared" si="0"/>
        <v>251.21</v>
      </c>
    </row>
    <row r="55" spans="1:4">
      <c r="A55" s="249" t="s">
        <v>44</v>
      </c>
      <c r="C55" s="264">
        <f>SUM(C47:C54)</f>
        <v>0.398</v>
      </c>
      <c r="D55" s="255">
        <f>TRUNC((SUM(D47:D54)),2)</f>
        <v>1249.77</v>
      </c>
    </row>
    <row r="56" spans="1:4">
      <c r="A56" s="249"/>
      <c r="C56" s="264"/>
      <c r="D56" s="255"/>
    </row>
    <row r="57" spans="1:4">
      <c r="A57" s="248" t="s">
        <v>81</v>
      </c>
      <c r="B57" s="248"/>
      <c r="C57" s="248"/>
      <c r="D57" s="248"/>
    </row>
    <row r="58" spans="1:4">
      <c r="A58" s="249" t="s">
        <v>82</v>
      </c>
      <c r="B58" s="253" t="s">
        <v>83</v>
      </c>
      <c r="C58" s="249" t="s">
        <v>4</v>
      </c>
      <c r="D58" s="249" t="s">
        <v>5</v>
      </c>
    </row>
    <row r="59" spans="1:4">
      <c r="A59" s="249" t="s">
        <v>28</v>
      </c>
      <c r="B59" t="s">
        <v>84</v>
      </c>
      <c r="C59" s="250"/>
      <c r="D59" s="266">
        <f>TRUNC(((22*4.35)*2)-((D25/100)*6),2)</f>
        <v>33.66</v>
      </c>
    </row>
    <row r="60" spans="1:4">
      <c r="A60" s="249" t="s">
        <v>31</v>
      </c>
      <c r="B60" t="s">
        <v>85</v>
      </c>
      <c r="C60" s="250" t="str">
        <f>C9</f>
        <v>CCT PB000035/2019*</v>
      </c>
      <c r="D60" s="222">
        <v>600</v>
      </c>
    </row>
    <row r="61" spans="1:4">
      <c r="A61" s="249" t="s">
        <v>34</v>
      </c>
      <c r="B61" t="s">
        <v>86</v>
      </c>
      <c r="C61" s="250"/>
      <c r="D61" s="222">
        <v>0</v>
      </c>
    </row>
    <row r="62" spans="1:6">
      <c r="A62" s="267" t="s">
        <v>36</v>
      </c>
      <c r="B62" s="268" t="s">
        <v>192</v>
      </c>
      <c r="C62" s="198"/>
      <c r="D62" s="198">
        <v>0</v>
      </c>
      <c r="F62" s="268"/>
    </row>
    <row r="63" spans="1:4">
      <c r="A63" s="249" t="s">
        <v>39</v>
      </c>
      <c r="B63" s="253" t="s">
        <v>193</v>
      </c>
      <c r="C63" s="250"/>
      <c r="D63" s="222">
        <v>0</v>
      </c>
    </row>
    <row r="64" spans="1:4">
      <c r="A64" s="249" t="s">
        <v>41</v>
      </c>
      <c r="B64" s="269" t="s">
        <v>194</v>
      </c>
      <c r="C64" s="198"/>
      <c r="D64" s="222">
        <v>0</v>
      </c>
    </row>
    <row r="65" spans="1:4">
      <c r="A65" s="249" t="s">
        <v>44</v>
      </c>
      <c r="D65" s="255">
        <f>TRUNC((SUM(D59:D64)),2)</f>
        <v>633.66</v>
      </c>
    </row>
    <row r="66" spans="1:4">
      <c r="A66" s="249"/>
      <c r="D66" s="255"/>
    </row>
    <row r="67" spans="1:4">
      <c r="A67" s="248" t="s">
        <v>91</v>
      </c>
      <c r="B67" s="248"/>
      <c r="C67" s="248"/>
      <c r="D67" s="248"/>
    </row>
    <row r="68" spans="1:4">
      <c r="A68" s="249" t="s">
        <v>92</v>
      </c>
      <c r="B68" s="253" t="s">
        <v>93</v>
      </c>
      <c r="C68" s="249" t="s">
        <v>4</v>
      </c>
      <c r="D68" s="249" t="s">
        <v>5</v>
      </c>
    </row>
    <row r="69" spans="1:4">
      <c r="A69" s="249" t="s">
        <v>51</v>
      </c>
      <c r="B69" t="s">
        <v>52</v>
      </c>
      <c r="C69" s="249"/>
      <c r="D69" s="255">
        <f>D39</f>
        <v>511.19</v>
      </c>
    </row>
    <row r="70" spans="1:4">
      <c r="A70" s="249" t="s">
        <v>64</v>
      </c>
      <c r="B70" t="s">
        <v>65</v>
      </c>
      <c r="C70" s="249"/>
      <c r="D70" s="255">
        <f>D55</f>
        <v>1249.77</v>
      </c>
    </row>
    <row r="71" spans="1:4">
      <c r="A71" s="249" t="s">
        <v>82</v>
      </c>
      <c r="B71" t="s">
        <v>83</v>
      </c>
      <c r="C71" s="249"/>
      <c r="D71" s="255">
        <f>D65</f>
        <v>633.66</v>
      </c>
    </row>
    <row r="72" spans="1:4">
      <c r="A72" s="249" t="s">
        <v>44</v>
      </c>
      <c r="C72" s="249"/>
      <c r="D72" s="255">
        <f>TRUNC(SUM(D69:D71),2)</f>
        <v>2394.62</v>
      </c>
    </row>
    <row r="74" spans="1:4">
      <c r="A74" s="232" t="s">
        <v>94</v>
      </c>
      <c r="B74" s="232"/>
      <c r="C74" s="232"/>
      <c r="D74" s="232"/>
    </row>
    <row r="75" spans="1:4">
      <c r="A75" s="249" t="s">
        <v>95</v>
      </c>
      <c r="B75" s="253" t="s">
        <v>96</v>
      </c>
      <c r="C75" s="249" t="s">
        <v>24</v>
      </c>
      <c r="D75" s="249" t="s">
        <v>5</v>
      </c>
    </row>
    <row r="76" spans="1:4">
      <c r="A76" s="249" t="s">
        <v>28</v>
      </c>
      <c r="B76" t="s">
        <v>97</v>
      </c>
      <c r="C76" s="265">
        <f>((1/12)*5%)</f>
        <v>0.00416666666666667</v>
      </c>
      <c r="D76" s="222">
        <f>TRUNC(($D$31*C76),2)</f>
        <v>10.95</v>
      </c>
    </row>
    <row r="77" spans="1:4">
      <c r="A77" s="249" t="s">
        <v>31</v>
      </c>
      <c r="B77" t="s">
        <v>98</v>
      </c>
      <c r="C77" s="270">
        <v>0.08</v>
      </c>
      <c r="D77" s="255">
        <f>TRUNC(($D$76*C77),2)</f>
        <v>0.87</v>
      </c>
    </row>
    <row r="78" spans="1:4">
      <c r="A78" s="249" t="s">
        <v>34</v>
      </c>
      <c r="B78" s="271" t="s">
        <v>99</v>
      </c>
      <c r="C78" s="272">
        <f>(0.08*0.4*0.05)</f>
        <v>0.0016</v>
      </c>
      <c r="D78" s="198">
        <f>TRUNC(($D$31*C78),2)</f>
        <v>4.2</v>
      </c>
    </row>
    <row r="79" spans="1:4">
      <c r="A79" s="249" t="s">
        <v>36</v>
      </c>
      <c r="B79" t="s">
        <v>100</v>
      </c>
      <c r="C79" s="273">
        <f>(((7/30)/12)*0.95)</f>
        <v>0.0184722222222222</v>
      </c>
      <c r="D79" s="274">
        <f>TRUNC(($D$31*C79),2)</f>
        <v>48.56</v>
      </c>
    </row>
    <row r="80" spans="1:4">
      <c r="A80" s="249" t="s">
        <v>39</v>
      </c>
      <c r="B80" s="271" t="s">
        <v>195</v>
      </c>
      <c r="C80" s="272">
        <f>C55</f>
        <v>0.398</v>
      </c>
      <c r="D80" s="198">
        <f>TRUNC(($D$79*C80),2)</f>
        <v>19.32</v>
      </c>
    </row>
    <row r="81" spans="1:4">
      <c r="A81" s="249" t="s">
        <v>41</v>
      </c>
      <c r="B81" s="271" t="s">
        <v>101</v>
      </c>
      <c r="C81" s="272">
        <f>(0.08*0.4*0.95)</f>
        <v>0.0304</v>
      </c>
      <c r="D81" s="198">
        <f>TRUNC(($D$31*C81),2)</f>
        <v>79.92</v>
      </c>
    </row>
    <row r="82" spans="1:4">
      <c r="A82" s="249" t="s">
        <v>44</v>
      </c>
      <c r="C82" s="270">
        <f>SUM(C76:C81)</f>
        <v>0.532638888888889</v>
      </c>
      <c r="D82" s="255">
        <f>TRUNC((SUM(D76:D81)),2)</f>
        <v>163.82</v>
      </c>
    </row>
    <row r="83" ht="15.75" spans="1:4">
      <c r="A83" s="249"/>
      <c r="D83" s="255"/>
    </row>
    <row r="84" ht="16.5" spans="1:4">
      <c r="A84" s="259" t="s">
        <v>196</v>
      </c>
      <c r="B84" s="259"/>
      <c r="C84" s="260" t="s">
        <v>188</v>
      </c>
      <c r="D84" s="261">
        <f>D31</f>
        <v>2629</v>
      </c>
    </row>
    <row r="85" ht="16.5" spans="1:4">
      <c r="A85" s="259"/>
      <c r="B85" s="259"/>
      <c r="C85" s="262" t="s">
        <v>197</v>
      </c>
      <c r="D85" s="261">
        <f>D72</f>
        <v>2394.62</v>
      </c>
    </row>
    <row r="86" ht="16.5" spans="1:4">
      <c r="A86" s="259"/>
      <c r="B86" s="259"/>
      <c r="C86" s="260" t="s">
        <v>198</v>
      </c>
      <c r="D86" s="261">
        <f>D82</f>
        <v>163.82</v>
      </c>
    </row>
    <row r="87" ht="16.5" spans="1:4">
      <c r="A87" s="259"/>
      <c r="B87" s="259"/>
      <c r="C87" s="262" t="s">
        <v>190</v>
      </c>
      <c r="D87" s="263">
        <f>TRUNC((SUM(D84:D86)),2)</f>
        <v>5187.44</v>
      </c>
    </row>
    <row r="88" ht="15.75" spans="1:4">
      <c r="A88" s="249"/>
      <c r="D88" s="255"/>
    </row>
    <row r="89" spans="1:4">
      <c r="A89" s="275" t="s">
        <v>113</v>
      </c>
      <c r="B89" s="275"/>
      <c r="C89" s="275"/>
      <c r="D89" s="275"/>
    </row>
    <row r="90" spans="1:4">
      <c r="A90" s="248" t="s">
        <v>114</v>
      </c>
      <c r="B90" s="248"/>
      <c r="C90" s="248"/>
      <c r="D90" s="248"/>
    </row>
    <row r="91" spans="1:4">
      <c r="A91" s="249" t="s">
        <v>115</v>
      </c>
      <c r="B91" s="253" t="s">
        <v>116</v>
      </c>
      <c r="C91" s="249" t="s">
        <v>24</v>
      </c>
      <c r="D91" s="249" t="s">
        <v>5</v>
      </c>
    </row>
    <row r="92" spans="1:4">
      <c r="A92" s="249" t="s">
        <v>28</v>
      </c>
      <c r="B92" t="s">
        <v>199</v>
      </c>
      <c r="C92" s="270">
        <f>(((1+1/3)/12)/12)+((1/12)/12)</f>
        <v>0.0162037037037037</v>
      </c>
      <c r="D92" s="255">
        <f>TRUNC(($D$87*C92),2)</f>
        <v>84.05</v>
      </c>
    </row>
    <row r="93" spans="1:4">
      <c r="A93" s="249" t="s">
        <v>31</v>
      </c>
      <c r="B93" t="s">
        <v>119</v>
      </c>
      <c r="C93" s="265">
        <f>((2/30)/12)</f>
        <v>0.00555555555555556</v>
      </c>
      <c r="D93" s="198">
        <f t="shared" ref="D92:D96" si="1">TRUNC(($D$87*C93),2)</f>
        <v>28.81</v>
      </c>
    </row>
    <row r="94" spans="1:4">
      <c r="A94" s="249" t="s">
        <v>34</v>
      </c>
      <c r="B94" t="s">
        <v>120</v>
      </c>
      <c r="C94" s="265">
        <f>((5/30)/12)*0.02</f>
        <v>0.000277777777777778</v>
      </c>
      <c r="D94" s="198">
        <f t="shared" si="1"/>
        <v>1.44</v>
      </c>
    </row>
    <row r="95" spans="1:4">
      <c r="A95" s="267" t="s">
        <v>36</v>
      </c>
      <c r="B95" s="271" t="s">
        <v>121</v>
      </c>
      <c r="C95" s="272">
        <f>((15/30)/12)*0.08</f>
        <v>0.00333333333333333</v>
      </c>
      <c r="D95" s="198">
        <f t="shared" si="1"/>
        <v>17.29</v>
      </c>
    </row>
    <row r="96" spans="1:4">
      <c r="A96" s="249" t="s">
        <v>39</v>
      </c>
      <c r="B96" t="s">
        <v>122</v>
      </c>
      <c r="C96" s="265">
        <f>((1+1/3)/12)*0.03*((4/12))</f>
        <v>0.00111111111111111</v>
      </c>
      <c r="D96" s="198">
        <f t="shared" si="1"/>
        <v>5.76</v>
      </c>
    </row>
    <row r="97" spans="1:4">
      <c r="A97" s="249" t="s">
        <v>41</v>
      </c>
      <c r="B97" s="271" t="s">
        <v>200</v>
      </c>
      <c r="C97" s="276">
        <v>0</v>
      </c>
      <c r="D97" s="198">
        <f>TRUNC($D$87*C97)</f>
        <v>0</v>
      </c>
    </row>
    <row r="98" spans="1:4">
      <c r="A98" s="249" t="s">
        <v>44</v>
      </c>
      <c r="C98" s="270">
        <f>SUM(C92:C97)</f>
        <v>0.0264814814814815</v>
      </c>
      <c r="D98" s="255">
        <f>TRUNC((SUM(D92:D97)),2)</f>
        <v>137.35</v>
      </c>
    </row>
    <row r="99" spans="1:4">
      <c r="A99" s="249"/>
      <c r="C99" s="249"/>
      <c r="D99" s="255"/>
    </row>
    <row r="100" spans="1:4">
      <c r="A100" s="248" t="s">
        <v>130</v>
      </c>
      <c r="B100" s="248"/>
      <c r="C100" s="248"/>
      <c r="D100" s="248"/>
    </row>
    <row r="101" spans="1:4">
      <c r="A101" s="249" t="s">
        <v>131</v>
      </c>
      <c r="B101" s="253" t="s">
        <v>132</v>
      </c>
      <c r="C101" s="249" t="s">
        <v>4</v>
      </c>
      <c r="D101" s="249" t="s">
        <v>5</v>
      </c>
    </row>
    <row r="102" ht="105" spans="1:4">
      <c r="A102" s="267" t="s">
        <v>28</v>
      </c>
      <c r="B102" s="277" t="s">
        <v>133</v>
      </c>
      <c r="C102" s="209" t="s">
        <v>201</v>
      </c>
      <c r="D102" s="210" t="s">
        <v>202</v>
      </c>
    </row>
    <row r="103" spans="1:4">
      <c r="A103" s="249" t="s">
        <v>44</v>
      </c>
      <c r="C103" s="278"/>
      <c r="D103" s="211" t="str">
        <f>D102</f>
        <v>*=TRUNCAR(($D$86/220)*(1*(365/12))/2)</v>
      </c>
    </row>
    <row r="105" spans="1:4">
      <c r="A105" s="248" t="s">
        <v>134</v>
      </c>
      <c r="B105" s="248"/>
      <c r="C105" s="248"/>
      <c r="D105" s="248"/>
    </row>
    <row r="106" spans="1:4">
      <c r="A106" s="249" t="s">
        <v>135</v>
      </c>
      <c r="B106" s="253" t="s">
        <v>136</v>
      </c>
      <c r="C106" s="249" t="s">
        <v>4</v>
      </c>
      <c r="D106" s="249" t="s">
        <v>5</v>
      </c>
    </row>
    <row r="107" spans="1:4">
      <c r="A107" s="249" t="s">
        <v>115</v>
      </c>
      <c r="B107" t="s">
        <v>116</v>
      </c>
      <c r="D107" s="222">
        <f>D98</f>
        <v>137.35</v>
      </c>
    </row>
    <row r="108" spans="1:4">
      <c r="A108" s="249" t="s">
        <v>131</v>
      </c>
      <c r="B108" t="s">
        <v>137</v>
      </c>
      <c r="C108" s="253"/>
      <c r="D108" s="279" t="str">
        <f>Submódulo4.260_81[[#Totals],[Valor]]</f>
        <v>*=TRUNCAR(($D$86/220)*(1*(365/12))/2)</v>
      </c>
    </row>
    <row r="109" ht="75" spans="1:4">
      <c r="A109" s="267" t="s">
        <v>44</v>
      </c>
      <c r="B109" s="268"/>
      <c r="C109" s="209" t="s">
        <v>203</v>
      </c>
      <c r="D109" s="280">
        <f>TRUNC((SUM(D107:D108)),2)</f>
        <v>137.35</v>
      </c>
    </row>
    <row r="111" spans="1:4">
      <c r="A111" s="232" t="s">
        <v>138</v>
      </c>
      <c r="B111" s="232"/>
      <c r="C111" s="232"/>
      <c r="D111" s="232"/>
    </row>
    <row r="112" spans="1:4">
      <c r="A112" s="249" t="s">
        <v>139</v>
      </c>
      <c r="B112" s="253" t="s">
        <v>140</v>
      </c>
      <c r="C112" s="249" t="s">
        <v>4</v>
      </c>
      <c r="D112" s="249" t="s">
        <v>5</v>
      </c>
    </row>
    <row r="113" spans="1:4">
      <c r="A113" s="249" t="s">
        <v>28</v>
      </c>
      <c r="B113" s="33" t="s">
        <v>204</v>
      </c>
      <c r="C113" s="91"/>
      <c r="D113" s="182">
        <f>Uniformes!G36</f>
        <v>72.13</v>
      </c>
    </row>
    <row r="114" spans="1:4">
      <c r="A114" s="249" t="s">
        <v>31</v>
      </c>
      <c r="B114" s="33" t="s">
        <v>205</v>
      </c>
      <c r="C114" s="91"/>
      <c r="D114" s="281">
        <f>EPC!E21</f>
        <v>17.95</v>
      </c>
    </row>
    <row r="115" spans="1:4">
      <c r="A115" s="249" t="s">
        <v>34</v>
      </c>
      <c r="B115" s="33" t="s">
        <v>142</v>
      </c>
      <c r="C115" s="91"/>
      <c r="D115" s="281">
        <v>0</v>
      </c>
    </row>
    <row r="116" spans="1:4">
      <c r="A116" s="249" t="s">
        <v>36</v>
      </c>
      <c r="B116" s="33" t="s">
        <v>143</v>
      </c>
      <c r="C116" s="91"/>
      <c r="D116" s="281">
        <v>0</v>
      </c>
    </row>
    <row r="117" spans="1:4">
      <c r="A117" s="249" t="s">
        <v>39</v>
      </c>
      <c r="B117" s="33" t="s">
        <v>206</v>
      </c>
      <c r="C117" s="91"/>
      <c r="D117" s="281">
        <f>H116</f>
        <v>0</v>
      </c>
    </row>
    <row r="118" spans="1:4">
      <c r="A118" s="249" t="s">
        <v>44</v>
      </c>
      <c r="D118" s="255">
        <f>TRUNC(SUM(D113:D117),2)</f>
        <v>90.08</v>
      </c>
    </row>
    <row r="119" ht="15.75"/>
    <row r="120" ht="16.5" spans="1:4">
      <c r="A120" s="259" t="s">
        <v>207</v>
      </c>
      <c r="B120" s="259"/>
      <c r="C120" s="260" t="s">
        <v>188</v>
      </c>
      <c r="D120" s="261">
        <f>D31</f>
        <v>2629</v>
      </c>
    </row>
    <row r="121" ht="16.5" spans="1:4">
      <c r="A121" s="259"/>
      <c r="B121" s="259"/>
      <c r="C121" s="262" t="s">
        <v>197</v>
      </c>
      <c r="D121" s="261">
        <f>D72</f>
        <v>2394.62</v>
      </c>
    </row>
    <row r="122" ht="16.5" spans="1:4">
      <c r="A122" s="259"/>
      <c r="B122" s="259"/>
      <c r="C122" s="260" t="s">
        <v>198</v>
      </c>
      <c r="D122" s="261">
        <f>D82</f>
        <v>163.82</v>
      </c>
    </row>
    <row r="123" ht="16.5" spans="1:4">
      <c r="A123" s="259"/>
      <c r="B123" s="259"/>
      <c r="C123" s="262" t="s">
        <v>208</v>
      </c>
      <c r="D123" s="261">
        <f>D109</f>
        <v>137.35</v>
      </c>
    </row>
    <row r="124" ht="16.5" spans="1:4">
      <c r="A124" s="259"/>
      <c r="B124" s="259"/>
      <c r="C124" s="260" t="s">
        <v>209</v>
      </c>
      <c r="D124" s="261">
        <f>D118</f>
        <v>90.08</v>
      </c>
    </row>
    <row r="125" ht="16.5" spans="1:4">
      <c r="A125" s="259"/>
      <c r="B125" s="259"/>
      <c r="C125" s="262" t="s">
        <v>190</v>
      </c>
      <c r="D125" s="263">
        <f>TRUNC((SUM(D120:D124)),2)</f>
        <v>5414.87</v>
      </c>
    </row>
    <row r="126" ht="15.75"/>
    <row r="127" spans="1:4">
      <c r="A127" s="232" t="s">
        <v>150</v>
      </c>
      <c r="B127" s="232"/>
      <c r="C127" s="232"/>
      <c r="D127" s="232"/>
    </row>
    <row r="128" spans="1:7">
      <c r="A128" s="249" t="s">
        <v>151</v>
      </c>
      <c r="B128" t="s">
        <v>152</v>
      </c>
      <c r="C128" s="249" t="s">
        <v>24</v>
      </c>
      <c r="D128" s="249" t="s">
        <v>5</v>
      </c>
      <c r="F128" s="282" t="s">
        <v>210</v>
      </c>
      <c r="G128" s="282"/>
    </row>
    <row r="129" ht="15.75" spans="1:7">
      <c r="A129" s="249" t="s">
        <v>28</v>
      </c>
      <c r="B129" t="s">
        <v>153</v>
      </c>
      <c r="C129" s="195">
        <v>0.044</v>
      </c>
      <c r="D129" s="182">
        <f>TRUNC(($D$125*C129),2)</f>
        <v>238.25</v>
      </c>
      <c r="F129" s="283" t="s">
        <v>211</v>
      </c>
      <c r="G129" s="272">
        <f>C131</f>
        <v>0.0865</v>
      </c>
    </row>
    <row r="130" ht="15.75" spans="1:7">
      <c r="A130" s="249" t="s">
        <v>31</v>
      </c>
      <c r="B130" t="s">
        <v>45</v>
      </c>
      <c r="C130" s="195">
        <v>0.0413</v>
      </c>
      <c r="D130" s="182">
        <f>TRUNC((C130*(D125+D129)),2)</f>
        <v>233.47</v>
      </c>
      <c r="F130" s="284" t="s">
        <v>212</v>
      </c>
      <c r="G130" s="285">
        <f>TRUNC(SUM(D125,D129,D130),2)</f>
        <v>5886.59</v>
      </c>
    </row>
    <row r="131" spans="1:7">
      <c r="A131" s="249" t="s">
        <v>34</v>
      </c>
      <c r="B131" t="s">
        <v>154</v>
      </c>
      <c r="C131" s="195">
        <f>SUM(C132:C134)</f>
        <v>0.0865</v>
      </c>
      <c r="D131" s="281">
        <f>TRUNC((SUM(D132:D134)),2)</f>
        <v>557.38</v>
      </c>
      <c r="F131" s="283" t="s">
        <v>213</v>
      </c>
      <c r="G131" s="286">
        <f>(100-8.65)/100</f>
        <v>0.9135</v>
      </c>
    </row>
    <row r="132" ht="15.75" spans="1:7">
      <c r="A132" s="249"/>
      <c r="B132" t="s">
        <v>214</v>
      </c>
      <c r="C132" s="265">
        <v>0.0065</v>
      </c>
      <c r="D132" s="222">
        <f>TRUNC(($G$132*C132),2)</f>
        <v>41.88</v>
      </c>
      <c r="F132" s="284" t="s">
        <v>210</v>
      </c>
      <c r="G132" s="285">
        <f>TRUNC((G130/G131),2)</f>
        <v>6443.99</v>
      </c>
    </row>
    <row r="133" ht="15.75" spans="1:4">
      <c r="A133" s="249"/>
      <c r="B133" t="s">
        <v>215</v>
      </c>
      <c r="C133" s="265">
        <v>0.03</v>
      </c>
      <c r="D133" s="222">
        <f>TRUNC(($G$132*C133),2)</f>
        <v>193.31</v>
      </c>
    </row>
    <row r="134" spans="1:4">
      <c r="A134" s="249"/>
      <c r="B134" t="s">
        <v>216</v>
      </c>
      <c r="C134" s="265">
        <v>0.05</v>
      </c>
      <c r="D134" s="222">
        <f t="shared" ref="D132:D134" si="2">TRUNC(($G$132*C134),2)</f>
        <v>322.19</v>
      </c>
    </row>
    <row r="135" spans="1:4">
      <c r="A135" s="249" t="s">
        <v>44</v>
      </c>
      <c r="C135" s="287"/>
      <c r="D135" s="255">
        <f>TRUNC(SUM(D129:D131),2)</f>
        <v>1029.1</v>
      </c>
    </row>
    <row r="136" spans="1:4">
      <c r="A136" s="249"/>
      <c r="C136" s="287"/>
      <c r="D136" s="255"/>
    </row>
    <row r="138" spans="1:4">
      <c r="A138" s="232" t="s">
        <v>158</v>
      </c>
      <c r="B138" s="232"/>
      <c r="C138" s="232"/>
      <c r="D138" s="232"/>
    </row>
    <row r="139" spans="1:4">
      <c r="A139" s="249" t="s">
        <v>2</v>
      </c>
      <c r="B139" s="249" t="s">
        <v>159</v>
      </c>
      <c r="C139" s="249" t="s">
        <v>88</v>
      </c>
      <c r="D139" s="249" t="s">
        <v>5</v>
      </c>
    </row>
    <row r="140" spans="1:4">
      <c r="A140" s="249" t="s">
        <v>28</v>
      </c>
      <c r="B140" t="s">
        <v>22</v>
      </c>
      <c r="D140" s="255">
        <f>D31</f>
        <v>2629</v>
      </c>
    </row>
    <row r="141" spans="1:4">
      <c r="A141" s="249" t="s">
        <v>31</v>
      </c>
      <c r="B141" t="s">
        <v>47</v>
      </c>
      <c r="D141" s="255">
        <f>D72</f>
        <v>2394.62</v>
      </c>
    </row>
    <row r="142" spans="1:4">
      <c r="A142" s="249" t="s">
        <v>34</v>
      </c>
      <c r="B142" t="s">
        <v>94</v>
      </c>
      <c r="D142" s="255">
        <f>D82</f>
        <v>163.82</v>
      </c>
    </row>
    <row r="143" spans="1:4">
      <c r="A143" s="249" t="s">
        <v>36</v>
      </c>
      <c r="B143" t="s">
        <v>160</v>
      </c>
      <c r="D143" s="255">
        <f>D109</f>
        <v>137.35</v>
      </c>
    </row>
    <row r="144" spans="1:4">
      <c r="A144" s="249" t="s">
        <v>39</v>
      </c>
      <c r="B144" t="s">
        <v>138</v>
      </c>
      <c r="D144" s="255">
        <f>D118</f>
        <v>90.08</v>
      </c>
    </row>
    <row r="145" spans="2:4">
      <c r="B145" s="288" t="s">
        <v>161</v>
      </c>
      <c r="D145" s="255">
        <f>TRUNC(SUM(D140:D144),2)</f>
        <v>5414.87</v>
      </c>
    </row>
    <row r="146" spans="1:4">
      <c r="A146" s="249" t="s">
        <v>41</v>
      </c>
      <c r="B146" t="s">
        <v>150</v>
      </c>
      <c r="D146" s="255">
        <f>D135</f>
        <v>1029.1</v>
      </c>
    </row>
    <row r="147" spans="1:4">
      <c r="A147" s="289"/>
      <c r="B147" s="290" t="s">
        <v>217</v>
      </c>
      <c r="C147" s="289"/>
      <c r="D147" s="291">
        <f>TRUNC((SUM(D140:D144)+D146),2)</f>
        <v>6443.97</v>
      </c>
    </row>
    <row r="149" spans="1:1">
      <c r="A149" t="s">
        <v>227</v>
      </c>
    </row>
  </sheetData>
  <mergeCells count="33">
    <mergeCell ref="A2:D2"/>
    <mergeCell ref="A3:D3"/>
    <mergeCell ref="A6:D6"/>
    <mergeCell ref="C7:D7"/>
    <mergeCell ref="C8:D8"/>
    <mergeCell ref="C9:D9"/>
    <mergeCell ref="C10:D10"/>
    <mergeCell ref="A11:D11"/>
    <mergeCell ref="A12:B12"/>
    <mergeCell ref="A13:B13"/>
    <mergeCell ref="A14:B14"/>
    <mergeCell ref="A15:D15"/>
    <mergeCell ref="F15:G15"/>
    <mergeCell ref="F22:G22"/>
    <mergeCell ref="A23:D23"/>
    <mergeCell ref="F31:G31"/>
    <mergeCell ref="A33:D33"/>
    <mergeCell ref="A35:D35"/>
    <mergeCell ref="A45:D45"/>
    <mergeCell ref="A57:D57"/>
    <mergeCell ref="A67:D67"/>
    <mergeCell ref="A74:D74"/>
    <mergeCell ref="A89:D89"/>
    <mergeCell ref="A90:D90"/>
    <mergeCell ref="A100:D100"/>
    <mergeCell ref="A105:D105"/>
    <mergeCell ref="A111:D111"/>
    <mergeCell ref="A127:D127"/>
    <mergeCell ref="F128:G128"/>
    <mergeCell ref="A138:D138"/>
    <mergeCell ref="A41:B43"/>
    <mergeCell ref="A84:B87"/>
    <mergeCell ref="A120:B125"/>
  </mergeCells>
  <pageMargins left="0.75" right="0.75" top="1" bottom="1" header="0.5" footer="0.5"/>
  <pageSetup paperSize="9" orientation="landscape"/>
  <headerFooter/>
  <tableParts count="13">
    <tablePart r:id="rId1"/>
    <tablePart r:id="rId2"/>
    <tablePart r:id="rId3"/>
    <tablePart r:id="rId4"/>
    <tablePart r:id="rId5"/>
    <tablePart r:id="rId6"/>
    <tablePart r:id="rId7"/>
    <tablePart r:id="rId8"/>
    <tablePart r:id="rId9"/>
    <tablePart r:id="rId10"/>
    <tablePart r:id="rId11"/>
    <tablePart r:id="rId12"/>
    <tablePart r:id="rId13"/>
  </tableParts>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147"/>
  <sheetViews>
    <sheetView workbookViewId="0">
      <selection activeCell="D147" sqref="A2:D147"/>
    </sheetView>
  </sheetViews>
  <sheetFormatPr defaultColWidth="9.14285714285714" defaultRowHeight="15" outlineLevelCol="6"/>
  <cols>
    <col min="1" max="1" width="11" customWidth="1"/>
    <col min="2" max="2" width="50.7142857142857" customWidth="1"/>
    <col min="3" max="3" width="32.4285714285714" customWidth="1"/>
    <col min="4" max="4" width="36.7142857142857" customWidth="1"/>
    <col min="6" max="6" width="22.2857142857143" customWidth="1"/>
    <col min="7" max="7" width="14.2857142857143" customWidth="1"/>
  </cols>
  <sheetData>
    <row r="1" spans="1:7">
      <c r="A1" s="33"/>
      <c r="B1" s="33"/>
      <c r="C1" s="33"/>
      <c r="D1" s="33"/>
      <c r="E1" s="33"/>
      <c r="F1" s="33"/>
      <c r="G1" s="33"/>
    </row>
    <row r="2" ht="19.5" spans="1:7">
      <c r="A2" s="156" t="s">
        <v>163</v>
      </c>
      <c r="B2" s="156"/>
      <c r="C2" s="156"/>
      <c r="D2" s="156"/>
      <c r="E2" s="33"/>
      <c r="F2" s="33"/>
      <c r="G2" s="33"/>
    </row>
    <row r="3" ht="15.75" spans="1:7">
      <c r="A3" s="157" t="s">
        <v>228</v>
      </c>
      <c r="B3" s="157"/>
      <c r="C3" s="157"/>
      <c r="D3" s="157"/>
      <c r="E3" s="33"/>
      <c r="F3" s="33"/>
      <c r="G3" s="33"/>
    </row>
    <row r="4" spans="1:7">
      <c r="A4" s="158" t="s">
        <v>165</v>
      </c>
      <c r="B4" s="159" t="s">
        <v>166</v>
      </c>
      <c r="C4" s="160"/>
      <c r="D4" s="160"/>
      <c r="E4" s="33"/>
      <c r="F4" s="33"/>
      <c r="G4" s="33"/>
    </row>
    <row r="5" spans="1:7">
      <c r="A5" s="161"/>
      <c r="B5" s="162"/>
      <c r="C5" s="162"/>
      <c r="D5" s="162"/>
      <c r="E5" s="33"/>
      <c r="F5" s="33"/>
      <c r="G5" s="33"/>
    </row>
    <row r="6" ht="15.75" spans="1:7">
      <c r="A6" s="163" t="s">
        <v>167</v>
      </c>
      <c r="B6" s="163"/>
      <c r="C6" s="163"/>
      <c r="D6" s="163"/>
      <c r="E6" s="33"/>
      <c r="F6" s="33"/>
      <c r="G6" s="33"/>
    </row>
    <row r="7" ht="15.75" spans="1:7">
      <c r="A7" s="164" t="s">
        <v>28</v>
      </c>
      <c r="B7" s="165" t="s">
        <v>168</v>
      </c>
      <c r="C7" s="166" t="s">
        <v>169</v>
      </c>
      <c r="D7" s="166"/>
      <c r="E7" s="33"/>
      <c r="F7" s="33"/>
      <c r="G7" s="33"/>
    </row>
    <row r="8" spans="1:7">
      <c r="A8" s="167" t="s">
        <v>31</v>
      </c>
      <c r="B8" s="168" t="s">
        <v>170</v>
      </c>
      <c r="C8" s="169" t="s">
        <v>171</v>
      </c>
      <c r="D8" s="169"/>
      <c r="E8" s="33"/>
      <c r="F8" s="33"/>
      <c r="G8" s="33"/>
    </row>
    <row r="9" spans="1:7">
      <c r="A9" s="170" t="s">
        <v>34</v>
      </c>
      <c r="B9" s="171" t="s">
        <v>172</v>
      </c>
      <c r="C9" s="169" t="s">
        <v>229</v>
      </c>
      <c r="D9" s="169"/>
      <c r="E9" s="33"/>
      <c r="F9" s="33"/>
      <c r="G9" s="33"/>
    </row>
    <row r="10" spans="1:7">
      <c r="A10" s="167" t="s">
        <v>39</v>
      </c>
      <c r="B10" s="168" t="s">
        <v>174</v>
      </c>
      <c r="C10" s="169" t="s">
        <v>175</v>
      </c>
      <c r="D10" s="169"/>
      <c r="E10" s="33"/>
      <c r="F10" s="33"/>
      <c r="G10" s="33"/>
    </row>
    <row r="11" ht="15.75" spans="1:7">
      <c r="A11" s="172" t="s">
        <v>176</v>
      </c>
      <c r="B11" s="172"/>
      <c r="C11" s="172"/>
      <c r="D11" s="172"/>
      <c r="E11" s="33"/>
      <c r="F11" s="33"/>
      <c r="G11" s="33"/>
    </row>
    <row r="12" ht="16.5" spans="1:7">
      <c r="A12" s="173" t="s">
        <v>177</v>
      </c>
      <c r="B12" s="173"/>
      <c r="C12" s="172" t="s">
        <v>178</v>
      </c>
      <c r="D12" s="174" t="s">
        <v>179</v>
      </c>
      <c r="E12" s="33"/>
      <c r="F12" s="33"/>
      <c r="G12" s="33"/>
    </row>
    <row r="13" ht="15.75" spans="1:7">
      <c r="A13" s="175" t="s">
        <v>230</v>
      </c>
      <c r="B13" s="175"/>
      <c r="C13" s="169" t="s">
        <v>181</v>
      </c>
      <c r="D13" s="176">
        <f>RESUMO!D6</f>
        <v>1</v>
      </c>
      <c r="E13" s="33"/>
      <c r="F13" s="33"/>
      <c r="G13" s="33"/>
    </row>
    <row r="14" spans="1:7">
      <c r="A14" s="177"/>
      <c r="B14" s="177"/>
      <c r="C14" s="169"/>
      <c r="D14" s="178"/>
      <c r="E14" s="33"/>
      <c r="F14" s="33"/>
      <c r="G14" s="33"/>
    </row>
    <row r="15" ht="15.75" spans="1:7">
      <c r="A15" s="172" t="s">
        <v>0</v>
      </c>
      <c r="B15" s="172"/>
      <c r="C15" s="172"/>
      <c r="D15" s="172"/>
      <c r="E15" s="33"/>
      <c r="F15" s="179"/>
      <c r="G15" s="179"/>
    </row>
    <row r="16" ht="15.75" spans="1:7">
      <c r="A16" s="180" t="s">
        <v>2</v>
      </c>
      <c r="B16" s="33" t="s">
        <v>3</v>
      </c>
      <c r="C16" s="180" t="s">
        <v>4</v>
      </c>
      <c r="D16" s="180" t="s">
        <v>5</v>
      </c>
      <c r="E16" s="33"/>
      <c r="F16" s="33"/>
      <c r="G16" s="33"/>
    </row>
    <row r="17" spans="1:7">
      <c r="A17" s="180">
        <v>1</v>
      </c>
      <c r="B17" s="33" t="s">
        <v>6</v>
      </c>
      <c r="C17" s="181" t="s">
        <v>88</v>
      </c>
      <c r="D17" s="181" t="str">
        <f>A13</f>
        <v>Eletricista</v>
      </c>
      <c r="E17" s="33"/>
      <c r="F17" s="33"/>
      <c r="G17" s="33"/>
    </row>
    <row r="18" spans="1:7">
      <c r="A18" s="180">
        <v>2</v>
      </c>
      <c r="B18" s="33" t="s">
        <v>9</v>
      </c>
      <c r="C18" s="181" t="s">
        <v>182</v>
      </c>
      <c r="D18" s="181" t="s">
        <v>231</v>
      </c>
      <c r="E18" s="33"/>
      <c r="F18" s="33"/>
      <c r="G18" s="33"/>
    </row>
    <row r="19" spans="1:7">
      <c r="A19" s="180">
        <v>3</v>
      </c>
      <c r="B19" s="33" t="s">
        <v>12</v>
      </c>
      <c r="C19" s="181" t="str">
        <f>C9</f>
        <v>CCT PB 000047/2021</v>
      </c>
      <c r="D19" s="182">
        <v>1528</v>
      </c>
      <c r="E19" s="33"/>
      <c r="F19" s="33"/>
      <c r="G19" s="33"/>
    </row>
    <row r="20" spans="1:7">
      <c r="A20" s="180">
        <v>4</v>
      </c>
      <c r="B20" s="33" t="s">
        <v>15</v>
      </c>
      <c r="C20" s="181" t="str">
        <f>C9</f>
        <v>CCT PB 000047/2021</v>
      </c>
      <c r="D20" s="181" t="s">
        <v>184</v>
      </c>
      <c r="E20" s="33"/>
      <c r="F20" s="33"/>
      <c r="G20" s="33"/>
    </row>
    <row r="21" spans="1:7">
      <c r="A21" s="180">
        <v>5</v>
      </c>
      <c r="B21" s="33" t="s">
        <v>19</v>
      </c>
      <c r="C21" s="181" t="str">
        <f>C9</f>
        <v>CCT PB 000047/2021</v>
      </c>
      <c r="D21" s="183" t="s">
        <v>185</v>
      </c>
      <c r="E21" s="33"/>
      <c r="F21" s="33"/>
      <c r="G21" s="33"/>
    </row>
    <row r="22" spans="1:7">
      <c r="A22" s="33"/>
      <c r="B22" s="33"/>
      <c r="C22" s="33"/>
      <c r="D22" s="33"/>
      <c r="E22" s="33"/>
      <c r="F22" s="179"/>
      <c r="G22" s="179"/>
    </row>
    <row r="23" spans="1:7">
      <c r="A23" s="163" t="s">
        <v>22</v>
      </c>
      <c r="B23" s="163"/>
      <c r="C23" s="163"/>
      <c r="D23" s="163"/>
      <c r="E23" s="33"/>
      <c r="F23" s="33"/>
      <c r="G23" s="33"/>
    </row>
    <row r="24" spans="1:7">
      <c r="A24" s="180" t="s">
        <v>25</v>
      </c>
      <c r="B24" s="33" t="s">
        <v>26</v>
      </c>
      <c r="C24" s="180" t="s">
        <v>4</v>
      </c>
      <c r="D24" s="180" t="s">
        <v>5</v>
      </c>
      <c r="E24" s="33"/>
      <c r="F24" s="33"/>
      <c r="G24" s="184"/>
    </row>
    <row r="25" spans="1:7">
      <c r="A25" s="180" t="s">
        <v>28</v>
      </c>
      <c r="B25" s="33" t="s">
        <v>29</v>
      </c>
      <c r="C25" s="181" t="s">
        <v>232</v>
      </c>
      <c r="D25" s="182">
        <f>D19</f>
        <v>1528</v>
      </c>
      <c r="E25" s="33"/>
      <c r="F25" s="33"/>
      <c r="G25" s="184"/>
    </row>
    <row r="26" spans="1:7">
      <c r="A26" s="180" t="s">
        <v>31</v>
      </c>
      <c r="B26" s="33" t="s">
        <v>32</v>
      </c>
      <c r="C26" s="181" t="s">
        <v>233</v>
      </c>
      <c r="D26" s="182">
        <f>TRUNC((D25*30%),2)</f>
        <v>458.4</v>
      </c>
      <c r="E26" s="33"/>
      <c r="F26" s="33"/>
      <c r="G26" s="184"/>
    </row>
    <row r="27" spans="1:7">
      <c r="A27" s="180" t="s">
        <v>34</v>
      </c>
      <c r="B27" s="33" t="s">
        <v>35</v>
      </c>
      <c r="C27" s="181"/>
      <c r="D27" s="182">
        <v>0</v>
      </c>
      <c r="E27" s="33"/>
      <c r="F27" s="33"/>
      <c r="G27" s="33"/>
    </row>
    <row r="28" spans="1:7">
      <c r="A28" s="180" t="s">
        <v>36</v>
      </c>
      <c r="B28" s="33" t="s">
        <v>37</v>
      </c>
      <c r="C28" s="181"/>
      <c r="D28" s="182">
        <v>0</v>
      </c>
      <c r="E28" s="33"/>
      <c r="F28" s="33"/>
      <c r="G28" s="33"/>
    </row>
    <row r="29" spans="1:7">
      <c r="A29" s="180" t="s">
        <v>39</v>
      </c>
      <c r="B29" s="33" t="s">
        <v>40</v>
      </c>
      <c r="C29" s="181"/>
      <c r="D29" s="182">
        <v>0</v>
      </c>
      <c r="E29" s="33"/>
      <c r="F29" s="33"/>
      <c r="G29" s="33"/>
    </row>
    <row r="30" spans="1:7">
      <c r="A30" s="180" t="s">
        <v>41</v>
      </c>
      <c r="B30" s="33" t="s">
        <v>42</v>
      </c>
      <c r="C30" s="181"/>
      <c r="D30" s="182">
        <v>0</v>
      </c>
      <c r="E30" s="33"/>
      <c r="F30" s="33"/>
      <c r="G30" s="33"/>
    </row>
    <row r="31" spans="1:7">
      <c r="A31" s="180" t="s">
        <v>44</v>
      </c>
      <c r="B31" s="33"/>
      <c r="C31" s="180"/>
      <c r="D31" s="185">
        <f>TRUNC(SUM(D25:D30),2)</f>
        <v>1986.4</v>
      </c>
      <c r="E31" s="33"/>
      <c r="F31" s="179"/>
      <c r="G31" s="179"/>
    </row>
    <row r="32" spans="1:7">
      <c r="A32" s="33"/>
      <c r="B32" s="33"/>
      <c r="C32" s="33"/>
      <c r="D32" s="33"/>
      <c r="E32" s="33"/>
      <c r="F32" s="33"/>
      <c r="G32" s="33"/>
    </row>
    <row r="33" spans="1:7">
      <c r="A33" s="186" t="s">
        <v>47</v>
      </c>
      <c r="B33" s="186"/>
      <c r="C33" s="186"/>
      <c r="D33" s="186"/>
      <c r="E33" s="33"/>
      <c r="F33" s="33"/>
      <c r="G33" s="184"/>
    </row>
    <row r="34" spans="1:7">
      <c r="A34" s="33"/>
      <c r="B34" s="33"/>
      <c r="C34" s="33"/>
      <c r="D34" s="33"/>
      <c r="E34" s="33"/>
      <c r="F34" s="33"/>
      <c r="G34" s="33"/>
    </row>
    <row r="35" spans="1:7">
      <c r="A35" s="179" t="s">
        <v>49</v>
      </c>
      <c r="B35" s="179"/>
      <c r="C35" s="179"/>
      <c r="D35" s="179"/>
      <c r="E35" s="33"/>
      <c r="F35" s="33"/>
      <c r="G35" s="33"/>
    </row>
    <row r="36" spans="1:7">
      <c r="A36" s="180" t="s">
        <v>51</v>
      </c>
      <c r="B36" s="33" t="s">
        <v>52</v>
      </c>
      <c r="C36" s="180" t="s">
        <v>24</v>
      </c>
      <c r="D36" s="180" t="s">
        <v>5</v>
      </c>
      <c r="E36" s="33"/>
      <c r="F36" s="33"/>
      <c r="G36" s="33"/>
    </row>
    <row r="37" spans="1:7">
      <c r="A37" s="180" t="s">
        <v>28</v>
      </c>
      <c r="B37" s="33" t="s">
        <v>53</v>
      </c>
      <c r="C37" s="187">
        <f>(1/12)</f>
        <v>0.0833333333333333</v>
      </c>
      <c r="D37" s="185">
        <f>TRUNC($D$31*C37,2)</f>
        <v>165.53</v>
      </c>
      <c r="E37" s="33"/>
      <c r="F37" s="188"/>
      <c r="G37" s="188"/>
    </row>
    <row r="38" spans="1:7">
      <c r="A38" s="180" t="s">
        <v>31</v>
      </c>
      <c r="B38" s="33" t="s">
        <v>54</v>
      </c>
      <c r="C38" s="187">
        <f>(((1+1/3)/12))</f>
        <v>0.111111111111111</v>
      </c>
      <c r="D38" s="185">
        <f>TRUNC($D$31*C38,2)</f>
        <v>220.71</v>
      </c>
      <c r="E38" s="33"/>
      <c r="F38" s="188"/>
      <c r="G38" s="188"/>
    </row>
    <row r="39" spans="1:7">
      <c r="A39" s="180" t="s">
        <v>44</v>
      </c>
      <c r="B39" s="33"/>
      <c r="C39" s="33"/>
      <c r="D39" s="185">
        <f>TRUNC((SUM(D37:D38)),2)</f>
        <v>386.24</v>
      </c>
      <c r="E39" s="33"/>
      <c r="F39" s="188"/>
      <c r="G39" s="188"/>
    </row>
    <row r="40" ht="15.75" spans="1:7">
      <c r="A40" s="33"/>
      <c r="B40" s="33"/>
      <c r="C40" s="33"/>
      <c r="D40" s="185"/>
      <c r="E40" s="33"/>
      <c r="F40" s="188"/>
      <c r="G40" s="188"/>
    </row>
    <row r="41" ht="16.5" spans="1:7">
      <c r="A41" s="189" t="s">
        <v>187</v>
      </c>
      <c r="B41" s="189"/>
      <c r="C41" s="190" t="s">
        <v>188</v>
      </c>
      <c r="D41" s="191">
        <f>D31</f>
        <v>1986.4</v>
      </c>
      <c r="E41" s="33"/>
      <c r="F41" s="188"/>
      <c r="G41" s="188"/>
    </row>
    <row r="42" ht="16.5" spans="1:7">
      <c r="A42" s="189"/>
      <c r="B42" s="189"/>
      <c r="C42" s="192" t="s">
        <v>189</v>
      </c>
      <c r="D42" s="191">
        <f>D39</f>
        <v>386.24</v>
      </c>
      <c r="E42" s="33"/>
      <c r="F42" s="188"/>
      <c r="G42" s="188"/>
    </row>
    <row r="43" ht="16.5" spans="1:7">
      <c r="A43" s="189"/>
      <c r="B43" s="189"/>
      <c r="C43" s="190" t="s">
        <v>190</v>
      </c>
      <c r="D43" s="193">
        <f>TRUNC((SUM(D41:D42)),2)</f>
        <v>2372.64</v>
      </c>
      <c r="E43" s="33"/>
      <c r="F43" s="188"/>
      <c r="G43" s="188"/>
    </row>
    <row r="44" ht="15.75" spans="1:7">
      <c r="A44" s="180"/>
      <c r="B44" s="33"/>
      <c r="C44" s="194"/>
      <c r="D44" s="185"/>
      <c r="E44" s="33"/>
      <c r="F44" s="188"/>
      <c r="G44" s="188"/>
    </row>
    <row r="45" spans="1:7">
      <c r="A45" s="179" t="s">
        <v>63</v>
      </c>
      <c r="B45" s="179"/>
      <c r="C45" s="179"/>
      <c r="D45" s="179"/>
      <c r="E45" s="33"/>
      <c r="F45" s="33"/>
      <c r="G45" s="33"/>
    </row>
    <row r="46" spans="1:7">
      <c r="A46" s="180" t="s">
        <v>64</v>
      </c>
      <c r="B46" s="33" t="s">
        <v>65</v>
      </c>
      <c r="C46" s="180" t="s">
        <v>24</v>
      </c>
      <c r="D46" s="180" t="s">
        <v>66</v>
      </c>
      <c r="E46" s="33"/>
      <c r="F46" s="33"/>
      <c r="G46" s="33"/>
    </row>
    <row r="47" spans="1:7">
      <c r="A47" s="180" t="s">
        <v>28</v>
      </c>
      <c r="B47" s="33" t="s">
        <v>67</v>
      </c>
      <c r="C47" s="187">
        <v>0.2</v>
      </c>
      <c r="D47" s="185">
        <f t="shared" ref="D47:D54" si="0">TRUNC(($D$43*C47),2)</f>
        <v>474.52</v>
      </c>
      <c r="E47" s="33"/>
      <c r="F47" s="33"/>
      <c r="G47" s="33"/>
    </row>
    <row r="48" spans="1:7">
      <c r="A48" s="180" t="s">
        <v>31</v>
      </c>
      <c r="B48" s="33" t="s">
        <v>68</v>
      </c>
      <c r="C48" s="187">
        <v>0.025</v>
      </c>
      <c r="D48" s="185">
        <f t="shared" si="0"/>
        <v>59.31</v>
      </c>
      <c r="E48" s="33"/>
      <c r="F48" s="33"/>
      <c r="G48" s="33"/>
    </row>
    <row r="49" spans="1:7">
      <c r="A49" s="180" t="s">
        <v>34</v>
      </c>
      <c r="B49" s="33" t="s">
        <v>191</v>
      </c>
      <c r="C49" s="195">
        <v>0.06</v>
      </c>
      <c r="D49" s="182">
        <f t="shared" si="0"/>
        <v>142.35</v>
      </c>
      <c r="E49" s="33"/>
      <c r="F49" s="33"/>
      <c r="G49" s="33"/>
    </row>
    <row r="50" spans="1:7">
      <c r="A50" s="180" t="s">
        <v>36</v>
      </c>
      <c r="B50" s="33" t="s">
        <v>70</v>
      </c>
      <c r="C50" s="187">
        <v>0.015</v>
      </c>
      <c r="D50" s="185">
        <f t="shared" si="0"/>
        <v>35.58</v>
      </c>
      <c r="E50" s="33"/>
      <c r="F50" s="33"/>
      <c r="G50" s="33"/>
    </row>
    <row r="51" spans="1:7">
      <c r="A51" s="180" t="s">
        <v>39</v>
      </c>
      <c r="B51" s="33" t="s">
        <v>71</v>
      </c>
      <c r="C51" s="187">
        <v>0.01</v>
      </c>
      <c r="D51" s="185">
        <f t="shared" si="0"/>
        <v>23.72</v>
      </c>
      <c r="E51" s="33"/>
      <c r="F51" s="33"/>
      <c r="G51" s="33"/>
    </row>
    <row r="52" spans="1:7">
      <c r="A52" s="180" t="s">
        <v>41</v>
      </c>
      <c r="B52" s="33" t="s">
        <v>72</v>
      </c>
      <c r="C52" s="187">
        <v>0.006</v>
      </c>
      <c r="D52" s="185">
        <f t="shared" si="0"/>
        <v>14.23</v>
      </c>
      <c r="E52" s="33"/>
      <c r="F52" s="33"/>
      <c r="G52" s="33"/>
    </row>
    <row r="53" spans="1:7">
      <c r="A53" s="180" t="s">
        <v>73</v>
      </c>
      <c r="B53" s="33" t="s">
        <v>74</v>
      </c>
      <c r="C53" s="187">
        <v>0.002</v>
      </c>
      <c r="D53" s="185">
        <f t="shared" si="0"/>
        <v>4.74</v>
      </c>
      <c r="E53" s="33"/>
      <c r="F53" s="33"/>
      <c r="G53" s="33"/>
    </row>
    <row r="54" spans="1:7">
      <c r="A54" s="180" t="s">
        <v>75</v>
      </c>
      <c r="B54" s="33" t="s">
        <v>76</v>
      </c>
      <c r="C54" s="187">
        <v>0.08</v>
      </c>
      <c r="D54" s="185">
        <f t="shared" si="0"/>
        <v>189.81</v>
      </c>
      <c r="E54" s="33"/>
      <c r="F54" s="33"/>
      <c r="G54" s="33"/>
    </row>
    <row r="55" spans="1:7">
      <c r="A55" s="180" t="s">
        <v>44</v>
      </c>
      <c r="B55" s="33"/>
      <c r="C55" s="194">
        <f>SUM(C47:C54)</f>
        <v>0.398</v>
      </c>
      <c r="D55" s="185">
        <f>TRUNC((SUM(D47:D54)),2)</f>
        <v>944.26</v>
      </c>
      <c r="E55" s="33"/>
      <c r="F55" s="33"/>
      <c r="G55" s="33"/>
    </row>
    <row r="56" spans="1:7">
      <c r="A56" s="180"/>
      <c r="B56" s="33"/>
      <c r="C56" s="194"/>
      <c r="D56" s="185"/>
      <c r="E56" s="33"/>
      <c r="F56" s="33"/>
      <c r="G56" s="33"/>
    </row>
    <row r="57" spans="1:7">
      <c r="A57" s="179" t="s">
        <v>81</v>
      </c>
      <c r="B57" s="179"/>
      <c r="C57" s="179"/>
      <c r="D57" s="179"/>
      <c r="E57" s="33"/>
      <c r="F57" s="33"/>
      <c r="G57" s="33"/>
    </row>
    <row r="58" spans="1:7">
      <c r="A58" s="180" t="s">
        <v>82</v>
      </c>
      <c r="B58" s="33" t="s">
        <v>83</v>
      </c>
      <c r="C58" s="180" t="s">
        <v>4</v>
      </c>
      <c r="D58" s="180" t="s">
        <v>5</v>
      </c>
      <c r="E58" s="33"/>
      <c r="F58" s="33"/>
      <c r="G58" s="33"/>
    </row>
    <row r="59" spans="1:7">
      <c r="A59" s="180" t="s">
        <v>28</v>
      </c>
      <c r="B59" s="33" t="s">
        <v>84</v>
      </c>
      <c r="C59" s="181"/>
      <c r="D59" s="182">
        <f>TRUNC(((22*4.35)*2)-((D25/100)*6),2)</f>
        <v>99.72</v>
      </c>
      <c r="E59" s="33"/>
      <c r="F59" s="33"/>
      <c r="G59" s="33"/>
    </row>
    <row r="60" spans="1:7">
      <c r="A60" s="180" t="s">
        <v>31</v>
      </c>
      <c r="B60" s="33" t="s">
        <v>85</v>
      </c>
      <c r="C60" s="181" t="str">
        <f>C9</f>
        <v>CCT PB 000047/2021</v>
      </c>
      <c r="D60" s="182">
        <f>TRUNC((((22*18))-(((22*18))*0.2)),2)</f>
        <v>316.8</v>
      </c>
      <c r="E60" s="33"/>
      <c r="F60" s="33"/>
      <c r="G60" s="33"/>
    </row>
    <row r="61" spans="1:7">
      <c r="A61" s="180" t="s">
        <v>34</v>
      </c>
      <c r="B61" s="33" t="s">
        <v>86</v>
      </c>
      <c r="C61" s="181"/>
      <c r="D61" s="182">
        <v>0</v>
      </c>
      <c r="E61" s="33"/>
      <c r="F61" s="33"/>
      <c r="G61" s="33"/>
    </row>
    <row r="62" spans="1:7">
      <c r="A62" s="94" t="s">
        <v>36</v>
      </c>
      <c r="B62" s="197" t="s">
        <v>234</v>
      </c>
      <c r="C62" s="196"/>
      <c r="D62" s="196">
        <v>0</v>
      </c>
      <c r="E62" s="33"/>
      <c r="F62" s="197"/>
      <c r="G62" s="33"/>
    </row>
    <row r="63" spans="1:7">
      <c r="A63" s="180" t="s">
        <v>39</v>
      </c>
      <c r="B63" s="33" t="s">
        <v>193</v>
      </c>
      <c r="C63" s="181" t="str">
        <f>C9</f>
        <v>CCT PB 000047/2021</v>
      </c>
      <c r="D63" s="222">
        <v>15</v>
      </c>
      <c r="E63" s="33"/>
      <c r="F63" s="33"/>
      <c r="G63" s="33"/>
    </row>
    <row r="64" spans="1:7">
      <c r="A64" s="180" t="s">
        <v>41</v>
      </c>
      <c r="B64" s="199" t="s">
        <v>194</v>
      </c>
      <c r="C64" s="196" t="str">
        <f>C9</f>
        <v>CCT PB 000047/2021</v>
      </c>
      <c r="D64" s="222">
        <v>5</v>
      </c>
      <c r="E64" s="33"/>
      <c r="F64" s="33"/>
      <c r="G64" s="33"/>
    </row>
    <row r="65" spans="1:7">
      <c r="A65" s="180" t="s">
        <v>44</v>
      </c>
      <c r="B65" s="33"/>
      <c r="C65" s="33"/>
      <c r="D65" s="185">
        <f>TRUNC((SUM(D59:D64)),2)</f>
        <v>436.52</v>
      </c>
      <c r="E65" s="33"/>
      <c r="F65" s="33"/>
      <c r="G65" s="33"/>
    </row>
    <row r="66" spans="1:7">
      <c r="A66" s="180"/>
      <c r="B66" s="33"/>
      <c r="C66" s="33"/>
      <c r="D66" s="185"/>
      <c r="E66" s="33"/>
      <c r="F66" s="33"/>
      <c r="G66" s="33"/>
    </row>
    <row r="67" spans="1:7">
      <c r="A67" s="179" t="s">
        <v>91</v>
      </c>
      <c r="B67" s="179"/>
      <c r="C67" s="179"/>
      <c r="D67" s="179"/>
      <c r="E67" s="33"/>
      <c r="F67" s="33"/>
      <c r="G67" s="33"/>
    </row>
    <row r="68" spans="1:7">
      <c r="A68" s="180" t="s">
        <v>92</v>
      </c>
      <c r="B68" s="33" t="s">
        <v>93</v>
      </c>
      <c r="C68" s="180" t="s">
        <v>4</v>
      </c>
      <c r="D68" s="180" t="s">
        <v>5</v>
      </c>
      <c r="E68" s="33"/>
      <c r="F68" s="33"/>
      <c r="G68" s="33"/>
    </row>
    <row r="69" spans="1:7">
      <c r="A69" s="180" t="s">
        <v>51</v>
      </c>
      <c r="B69" s="33" t="s">
        <v>52</v>
      </c>
      <c r="C69" s="180"/>
      <c r="D69" s="185">
        <f>D39</f>
        <v>386.24</v>
      </c>
      <c r="E69" s="33"/>
      <c r="F69" s="33"/>
      <c r="G69" s="33"/>
    </row>
    <row r="70" spans="1:7">
      <c r="A70" s="180" t="s">
        <v>64</v>
      </c>
      <c r="B70" s="33" t="s">
        <v>65</v>
      </c>
      <c r="C70" s="180"/>
      <c r="D70" s="185">
        <f>D55</f>
        <v>944.26</v>
      </c>
      <c r="E70" s="33"/>
      <c r="F70" s="33"/>
      <c r="G70" s="33"/>
    </row>
    <row r="71" spans="1:7">
      <c r="A71" s="180" t="s">
        <v>82</v>
      </c>
      <c r="B71" s="33" t="s">
        <v>83</v>
      </c>
      <c r="C71" s="180"/>
      <c r="D71" s="185">
        <f>D65</f>
        <v>436.52</v>
      </c>
      <c r="E71" s="33"/>
      <c r="F71" s="33"/>
      <c r="G71" s="33"/>
    </row>
    <row r="72" spans="1:7">
      <c r="A72" s="180" t="s">
        <v>44</v>
      </c>
      <c r="B72" s="33"/>
      <c r="C72" s="180"/>
      <c r="D72" s="185">
        <f>TRUNC(SUM(D69:D71),2)</f>
        <v>1767.02</v>
      </c>
      <c r="E72" s="33"/>
      <c r="F72" s="33"/>
      <c r="G72" s="33"/>
    </row>
    <row r="73" spans="1:7">
      <c r="A73" s="33"/>
      <c r="B73" s="33"/>
      <c r="C73" s="33"/>
      <c r="D73" s="33"/>
      <c r="E73" s="33"/>
      <c r="F73" s="33"/>
      <c r="G73" s="33"/>
    </row>
    <row r="74" spans="1:7">
      <c r="A74" s="163" t="s">
        <v>94</v>
      </c>
      <c r="B74" s="163"/>
      <c r="C74" s="163"/>
      <c r="D74" s="163"/>
      <c r="E74" s="33"/>
      <c r="F74" s="33"/>
      <c r="G74" s="33"/>
    </row>
    <row r="75" spans="1:7">
      <c r="A75" s="180" t="s">
        <v>95</v>
      </c>
      <c r="B75" s="33" t="s">
        <v>96</v>
      </c>
      <c r="C75" s="180" t="s">
        <v>24</v>
      </c>
      <c r="D75" s="180" t="s">
        <v>5</v>
      </c>
      <c r="E75" s="33"/>
      <c r="F75" s="33"/>
      <c r="G75" s="33"/>
    </row>
    <row r="76" spans="1:7">
      <c r="A76" s="180" t="s">
        <v>28</v>
      </c>
      <c r="B76" s="33" t="s">
        <v>97</v>
      </c>
      <c r="C76" s="195">
        <f>((1/12)*5%)</f>
        <v>0.00416666666666667</v>
      </c>
      <c r="D76" s="182">
        <f t="shared" ref="D76:D79" si="1">TRUNC(($D$31*C76),2)</f>
        <v>8.27</v>
      </c>
      <c r="E76" s="33"/>
      <c r="F76" s="33"/>
      <c r="G76" s="33"/>
    </row>
    <row r="77" spans="1:7">
      <c r="A77" s="180" t="s">
        <v>31</v>
      </c>
      <c r="B77" s="33" t="s">
        <v>98</v>
      </c>
      <c r="C77" s="201">
        <v>0.08</v>
      </c>
      <c r="D77" s="185">
        <f>TRUNC(($D$76*C77),2)</f>
        <v>0.66</v>
      </c>
      <c r="E77" s="33"/>
      <c r="F77" s="33"/>
      <c r="G77" s="33"/>
    </row>
    <row r="78" spans="1:7">
      <c r="A78" s="180" t="s">
        <v>34</v>
      </c>
      <c r="B78" s="202" t="s">
        <v>99</v>
      </c>
      <c r="C78" s="203">
        <f>(0.08*0.4*0.05)</f>
        <v>0.0016</v>
      </c>
      <c r="D78" s="196">
        <f t="shared" si="1"/>
        <v>3.17</v>
      </c>
      <c r="E78" s="33"/>
      <c r="F78" s="33"/>
      <c r="G78" s="33"/>
    </row>
    <row r="79" spans="1:7">
      <c r="A79" s="180" t="s">
        <v>36</v>
      </c>
      <c r="B79" s="33" t="s">
        <v>100</v>
      </c>
      <c r="C79" s="204">
        <f>(((7/30)/12)*0.95)</f>
        <v>0.0184722222222222</v>
      </c>
      <c r="D79" s="223">
        <f t="shared" si="1"/>
        <v>36.69</v>
      </c>
      <c r="E79" s="33"/>
      <c r="F79" s="33"/>
      <c r="G79" s="33"/>
    </row>
    <row r="80" ht="30" spans="1:7">
      <c r="A80" s="180" t="s">
        <v>39</v>
      </c>
      <c r="B80" s="202" t="s">
        <v>195</v>
      </c>
      <c r="C80" s="203">
        <f>C55</f>
        <v>0.398</v>
      </c>
      <c r="D80" s="196">
        <f>TRUNC(($D$79*C80),2)</f>
        <v>14.6</v>
      </c>
      <c r="E80" s="33"/>
      <c r="F80" s="33"/>
      <c r="G80" s="33"/>
    </row>
    <row r="81" spans="1:7">
      <c r="A81" s="180" t="s">
        <v>41</v>
      </c>
      <c r="B81" s="202" t="s">
        <v>101</v>
      </c>
      <c r="C81" s="203">
        <f>(0.08*0.4*0.95)</f>
        <v>0.0304</v>
      </c>
      <c r="D81" s="196">
        <f>TRUNC(($D$31*C81),2)</f>
        <v>60.38</v>
      </c>
      <c r="E81" s="33"/>
      <c r="F81" s="33"/>
      <c r="G81" s="33"/>
    </row>
    <row r="82" spans="1:7">
      <c r="A82" s="180" t="s">
        <v>44</v>
      </c>
      <c r="B82" s="33"/>
      <c r="C82" s="201">
        <f>SUM(C76:C81)</f>
        <v>0.532638888888889</v>
      </c>
      <c r="D82" s="185">
        <f>TRUNC((SUM(D76:D81)),2)</f>
        <v>123.77</v>
      </c>
      <c r="E82" s="33"/>
      <c r="F82" s="33"/>
      <c r="G82" s="33"/>
    </row>
    <row r="83" ht="15.75" spans="1:7">
      <c r="A83" s="180"/>
      <c r="B83" s="33"/>
      <c r="C83" s="33"/>
      <c r="D83" s="185"/>
      <c r="E83" s="33"/>
      <c r="F83" s="33"/>
      <c r="G83" s="33"/>
    </row>
    <row r="84" ht="16.5" spans="1:7">
      <c r="A84" s="189" t="s">
        <v>196</v>
      </c>
      <c r="B84" s="189"/>
      <c r="C84" s="190" t="s">
        <v>188</v>
      </c>
      <c r="D84" s="191">
        <f>D31</f>
        <v>1986.4</v>
      </c>
      <c r="E84" s="33"/>
      <c r="F84" s="33"/>
      <c r="G84" s="33"/>
    </row>
    <row r="85" ht="16.5" spans="1:7">
      <c r="A85" s="189"/>
      <c r="B85" s="189"/>
      <c r="C85" s="192" t="s">
        <v>197</v>
      </c>
      <c r="D85" s="191">
        <f>D72</f>
        <v>1767.02</v>
      </c>
      <c r="E85" s="33"/>
      <c r="F85" s="33"/>
      <c r="G85" s="33"/>
    </row>
    <row r="86" ht="16.5" spans="1:7">
      <c r="A86" s="189"/>
      <c r="B86" s="189"/>
      <c r="C86" s="190" t="s">
        <v>198</v>
      </c>
      <c r="D86" s="191">
        <f>D82</f>
        <v>123.77</v>
      </c>
      <c r="E86" s="33"/>
      <c r="F86" s="33"/>
      <c r="G86" s="33"/>
    </row>
    <row r="87" ht="16.5" spans="1:7">
      <c r="A87" s="189"/>
      <c r="B87" s="189"/>
      <c r="C87" s="192" t="s">
        <v>190</v>
      </c>
      <c r="D87" s="193">
        <f>TRUNC((SUM(D84:D86)),2)</f>
        <v>3877.19</v>
      </c>
      <c r="E87" s="33"/>
      <c r="F87" s="33"/>
      <c r="G87" s="33"/>
    </row>
    <row r="88" ht="15.75" spans="1:7">
      <c r="A88" s="180"/>
      <c r="B88" s="33"/>
      <c r="C88" s="33"/>
      <c r="D88" s="185"/>
      <c r="E88" s="33"/>
      <c r="F88" s="33"/>
      <c r="G88" s="33"/>
    </row>
    <row r="89" spans="1:7">
      <c r="A89" s="206" t="s">
        <v>113</v>
      </c>
      <c r="B89" s="206"/>
      <c r="C89" s="206"/>
      <c r="D89" s="206"/>
      <c r="E89" s="33"/>
      <c r="F89" s="33"/>
      <c r="G89" s="33"/>
    </row>
    <row r="90" spans="1:7">
      <c r="A90" s="179" t="s">
        <v>114</v>
      </c>
      <c r="B90" s="179"/>
      <c r="C90" s="179"/>
      <c r="D90" s="179"/>
      <c r="E90" s="33"/>
      <c r="F90" s="33"/>
      <c r="G90" s="33"/>
    </row>
    <row r="91" spans="1:7">
      <c r="A91" s="180" t="s">
        <v>115</v>
      </c>
      <c r="B91" s="33" t="s">
        <v>116</v>
      </c>
      <c r="C91" s="180" t="s">
        <v>24</v>
      </c>
      <c r="D91" s="180" t="s">
        <v>5</v>
      </c>
      <c r="E91" s="33"/>
      <c r="F91" s="33"/>
      <c r="G91" s="33"/>
    </row>
    <row r="92" spans="1:7">
      <c r="A92" s="180" t="s">
        <v>28</v>
      </c>
      <c r="B92" s="33" t="s">
        <v>199</v>
      </c>
      <c r="C92" s="201">
        <f>(((1+1/3)/12)/12)+((1/12)/12)</f>
        <v>0.0162037037037037</v>
      </c>
      <c r="D92" s="185">
        <f t="shared" ref="D92:D96" si="2">TRUNC(($D$87*C92),2)</f>
        <v>62.82</v>
      </c>
      <c r="E92" s="33"/>
      <c r="F92" s="33"/>
      <c r="G92" s="33"/>
    </row>
    <row r="93" spans="1:7">
      <c r="A93" s="180" t="s">
        <v>31</v>
      </c>
      <c r="B93" s="33" t="s">
        <v>119</v>
      </c>
      <c r="C93" s="195">
        <f>((2/30)/12)</f>
        <v>0.00555555555555556</v>
      </c>
      <c r="D93" s="196">
        <f t="shared" si="2"/>
        <v>21.53</v>
      </c>
      <c r="E93" s="33"/>
      <c r="F93" s="33"/>
      <c r="G93" s="33"/>
    </row>
    <row r="94" spans="1:7">
      <c r="A94" s="180" t="s">
        <v>34</v>
      </c>
      <c r="B94" s="33" t="s">
        <v>120</v>
      </c>
      <c r="C94" s="195">
        <f>((5/30)/12)*0.02</f>
        <v>0.000277777777777778</v>
      </c>
      <c r="D94" s="196">
        <f t="shared" si="2"/>
        <v>1.07</v>
      </c>
      <c r="E94" s="33"/>
      <c r="F94" s="33"/>
      <c r="G94" s="33"/>
    </row>
    <row r="95" spans="1:7">
      <c r="A95" s="94" t="s">
        <v>36</v>
      </c>
      <c r="B95" s="202" t="s">
        <v>121</v>
      </c>
      <c r="C95" s="203">
        <f>((15/30)/12)*0.08</f>
        <v>0.00333333333333333</v>
      </c>
      <c r="D95" s="196">
        <f t="shared" si="2"/>
        <v>12.92</v>
      </c>
      <c r="E95" s="33"/>
      <c r="F95" s="33"/>
      <c r="G95" s="33"/>
    </row>
    <row r="96" spans="1:7">
      <c r="A96" s="180" t="s">
        <v>39</v>
      </c>
      <c r="B96" s="33" t="s">
        <v>122</v>
      </c>
      <c r="C96" s="195">
        <f>((1+1/3)/12)*0.03*((4/12))</f>
        <v>0.00111111111111111</v>
      </c>
      <c r="D96" s="196">
        <f t="shared" si="2"/>
        <v>4.3</v>
      </c>
      <c r="E96" s="33"/>
      <c r="F96" s="33"/>
      <c r="G96" s="33"/>
    </row>
    <row r="97" spans="1:7">
      <c r="A97" s="180" t="s">
        <v>41</v>
      </c>
      <c r="B97" s="202" t="s">
        <v>200</v>
      </c>
      <c r="C97" s="207">
        <v>0</v>
      </c>
      <c r="D97" s="196">
        <f>TRUNC($D$87*C97)</f>
        <v>0</v>
      </c>
      <c r="E97" s="33"/>
      <c r="F97" s="33"/>
      <c r="G97" s="33"/>
    </row>
    <row r="98" spans="1:7">
      <c r="A98" s="180" t="s">
        <v>44</v>
      </c>
      <c r="B98" s="33"/>
      <c r="C98" s="201">
        <f>SUM(C92:C97)</f>
        <v>0.0264814814814815</v>
      </c>
      <c r="D98" s="185">
        <f>TRUNC((SUM(D92:D97)),2)</f>
        <v>102.64</v>
      </c>
      <c r="E98" s="33"/>
      <c r="F98" s="33"/>
      <c r="G98" s="33"/>
    </row>
    <row r="99" spans="1:7">
      <c r="A99" s="180"/>
      <c r="B99" s="33"/>
      <c r="C99" s="180"/>
      <c r="D99" s="185"/>
      <c r="E99" s="33"/>
      <c r="F99" s="33"/>
      <c r="G99" s="33"/>
    </row>
    <row r="100" spans="1:7">
      <c r="A100" s="179" t="s">
        <v>130</v>
      </c>
      <c r="B100" s="179"/>
      <c r="C100" s="179"/>
      <c r="D100" s="179"/>
      <c r="E100" s="33"/>
      <c r="F100" s="33"/>
      <c r="G100" s="33"/>
    </row>
    <row r="101" spans="1:7">
      <c r="A101" s="180" t="s">
        <v>131</v>
      </c>
      <c r="B101" s="33" t="s">
        <v>132</v>
      </c>
      <c r="C101" s="180" t="s">
        <v>4</v>
      </c>
      <c r="D101" s="180" t="s">
        <v>5</v>
      </c>
      <c r="E101" s="33"/>
      <c r="F101" s="33"/>
      <c r="G101" s="33"/>
    </row>
    <row r="102" ht="75" spans="1:7">
      <c r="A102" s="94" t="s">
        <v>28</v>
      </c>
      <c r="B102" s="208" t="s">
        <v>133</v>
      </c>
      <c r="C102" s="209" t="s">
        <v>201</v>
      </c>
      <c r="D102" s="210" t="s">
        <v>202</v>
      </c>
      <c r="E102" s="33"/>
      <c r="F102" s="33"/>
      <c r="G102" s="33"/>
    </row>
    <row r="103" spans="1:7">
      <c r="A103" s="180" t="s">
        <v>44</v>
      </c>
      <c r="B103" s="33"/>
      <c r="C103" s="180"/>
      <c r="D103" s="211" t="str">
        <f>D102</f>
        <v>*=TRUNCAR(($D$86/220)*(1*(365/12))/2)</v>
      </c>
      <c r="E103" s="33"/>
      <c r="F103" s="33"/>
      <c r="G103" s="33"/>
    </row>
    <row r="104" spans="1:7">
      <c r="A104" s="33"/>
      <c r="B104" s="33"/>
      <c r="C104" s="33"/>
      <c r="D104" s="33"/>
      <c r="E104" s="33"/>
      <c r="F104" s="33"/>
      <c r="G104" s="33"/>
    </row>
    <row r="105" spans="1:7">
      <c r="A105" s="179" t="s">
        <v>134</v>
      </c>
      <c r="B105" s="179"/>
      <c r="C105" s="179"/>
      <c r="D105" s="179"/>
      <c r="E105" s="33"/>
      <c r="F105" s="33"/>
      <c r="G105" s="33"/>
    </row>
    <row r="106" spans="1:7">
      <c r="A106" s="180" t="s">
        <v>135</v>
      </c>
      <c r="B106" s="33" t="s">
        <v>136</v>
      </c>
      <c r="C106" s="180" t="s">
        <v>4</v>
      </c>
      <c r="D106" s="180" t="s">
        <v>5</v>
      </c>
      <c r="E106" s="33"/>
      <c r="F106" s="33"/>
      <c r="G106" s="33"/>
    </row>
    <row r="107" spans="1:7">
      <c r="A107" s="180" t="s">
        <v>115</v>
      </c>
      <c r="B107" s="33" t="s">
        <v>116</v>
      </c>
      <c r="C107" s="33"/>
      <c r="D107" s="182">
        <f>D98</f>
        <v>102.64</v>
      </c>
      <c r="E107" s="33"/>
      <c r="F107" s="33"/>
      <c r="G107" s="33"/>
    </row>
    <row r="108" spans="1:7">
      <c r="A108" s="180" t="s">
        <v>131</v>
      </c>
      <c r="B108" s="33" t="s">
        <v>137</v>
      </c>
      <c r="C108" s="33"/>
      <c r="D108" s="212" t="str">
        <f>Submódulo4.260_8120[[#Totals],[Valor]]</f>
        <v>*=TRUNCAR(($D$86/220)*(1*(365/12))/2)</v>
      </c>
      <c r="E108" s="33"/>
      <c r="F108" s="33"/>
      <c r="G108" s="33"/>
    </row>
    <row r="109" ht="45" spans="1:7">
      <c r="A109" s="94" t="s">
        <v>44</v>
      </c>
      <c r="B109" s="197"/>
      <c r="C109" s="209" t="s">
        <v>203</v>
      </c>
      <c r="D109" s="200">
        <f>TRUNC((SUM(D107:D108)),2)</f>
        <v>102.64</v>
      </c>
      <c r="E109" s="33"/>
      <c r="F109" s="33"/>
      <c r="G109" s="33"/>
    </row>
    <row r="110" spans="1:7">
      <c r="A110" s="33"/>
      <c r="B110" s="33"/>
      <c r="C110" s="33"/>
      <c r="D110" s="33"/>
      <c r="E110" s="33"/>
      <c r="F110" s="33"/>
      <c r="G110" s="33"/>
    </row>
    <row r="111" spans="1:7">
      <c r="A111" s="163" t="s">
        <v>138</v>
      </c>
      <c r="B111" s="163"/>
      <c r="C111" s="163"/>
      <c r="D111" s="163"/>
      <c r="E111" s="33"/>
      <c r="F111" s="33"/>
      <c r="G111" s="33"/>
    </row>
    <row r="112" spans="1:7">
      <c r="A112" s="180" t="s">
        <v>139</v>
      </c>
      <c r="B112" s="33" t="s">
        <v>140</v>
      </c>
      <c r="C112" s="180" t="s">
        <v>4</v>
      </c>
      <c r="D112" s="180" t="s">
        <v>5</v>
      </c>
      <c r="E112" s="33"/>
      <c r="F112" s="33"/>
      <c r="G112" s="33"/>
    </row>
    <row r="113" spans="1:7">
      <c r="A113" s="180" t="s">
        <v>28</v>
      </c>
      <c r="B113" s="33" t="s">
        <v>204</v>
      </c>
      <c r="C113" s="33"/>
      <c r="D113" s="182">
        <f>Uniformes!G58</f>
        <v>200.28</v>
      </c>
      <c r="E113" s="33"/>
      <c r="F113" s="33"/>
      <c r="G113" s="33"/>
    </row>
    <row r="114" spans="1:7">
      <c r="A114" s="180" t="s">
        <v>31</v>
      </c>
      <c r="B114" s="33" t="s">
        <v>205</v>
      </c>
      <c r="C114" s="33"/>
      <c r="D114" s="182">
        <f>EPC!E21</f>
        <v>17.95</v>
      </c>
      <c r="E114" s="33"/>
      <c r="F114" s="33"/>
      <c r="G114" s="33"/>
    </row>
    <row r="115" spans="1:7">
      <c r="A115" s="180" t="s">
        <v>34</v>
      </c>
      <c r="B115" s="33" t="s">
        <v>142</v>
      </c>
      <c r="C115" s="33"/>
      <c r="D115" s="182">
        <f>'Materiais e Equipamentos'!E93</f>
        <v>61.2</v>
      </c>
      <c r="E115" s="33"/>
      <c r="F115" s="33"/>
      <c r="G115" s="33"/>
    </row>
    <row r="116" spans="1:7">
      <c r="A116" s="180" t="s">
        <v>36</v>
      </c>
      <c r="B116" s="33" t="s">
        <v>143</v>
      </c>
      <c r="C116" s="33"/>
      <c r="D116" s="182">
        <f>'Materiais e Equipamentos'!F124</f>
        <v>16.72</v>
      </c>
      <c r="E116" s="33"/>
      <c r="F116" s="33"/>
      <c r="G116" s="33"/>
    </row>
    <row r="117" spans="1:7">
      <c r="A117" s="180" t="s">
        <v>39</v>
      </c>
      <c r="B117" s="33" t="s">
        <v>42</v>
      </c>
      <c r="C117" s="33"/>
      <c r="D117" s="182">
        <f>H116</f>
        <v>0</v>
      </c>
      <c r="E117" s="33"/>
      <c r="F117" s="33"/>
      <c r="G117" s="33"/>
    </row>
    <row r="118" spans="1:7">
      <c r="A118" s="180" t="s">
        <v>44</v>
      </c>
      <c r="B118" s="33"/>
      <c r="C118" s="33"/>
      <c r="D118" s="185">
        <f>TRUNC(SUM((D113:D117)),2)</f>
        <v>296.15</v>
      </c>
      <c r="E118" s="33"/>
      <c r="F118" s="33"/>
      <c r="G118" s="33"/>
    </row>
    <row r="119" ht="15.75" spans="1:7">
      <c r="A119" s="33"/>
      <c r="B119" s="33"/>
      <c r="C119" s="33"/>
      <c r="D119" s="33"/>
      <c r="E119" s="33"/>
      <c r="F119" s="33"/>
      <c r="G119" s="33"/>
    </row>
    <row r="120" ht="16.5" spans="1:7">
      <c r="A120" s="189" t="s">
        <v>207</v>
      </c>
      <c r="B120" s="189"/>
      <c r="C120" s="190" t="s">
        <v>188</v>
      </c>
      <c r="D120" s="191">
        <f>D31</f>
        <v>1986.4</v>
      </c>
      <c r="E120" s="33"/>
      <c r="F120" s="33"/>
      <c r="G120" s="33"/>
    </row>
    <row r="121" ht="16.5" spans="1:7">
      <c r="A121" s="189"/>
      <c r="B121" s="189"/>
      <c r="C121" s="192" t="s">
        <v>197</v>
      </c>
      <c r="D121" s="191">
        <f>D72</f>
        <v>1767.02</v>
      </c>
      <c r="E121" s="33"/>
      <c r="F121" s="33"/>
      <c r="G121" s="33"/>
    </row>
    <row r="122" ht="16.5" spans="1:7">
      <c r="A122" s="189"/>
      <c r="B122" s="189"/>
      <c r="C122" s="190" t="s">
        <v>198</v>
      </c>
      <c r="D122" s="191">
        <f>D82</f>
        <v>123.77</v>
      </c>
      <c r="E122" s="33"/>
      <c r="F122" s="33"/>
      <c r="G122" s="33"/>
    </row>
    <row r="123" ht="16.5" spans="1:7">
      <c r="A123" s="189"/>
      <c r="B123" s="189"/>
      <c r="C123" s="192" t="s">
        <v>208</v>
      </c>
      <c r="D123" s="191">
        <f>D109</f>
        <v>102.64</v>
      </c>
      <c r="E123" s="33"/>
      <c r="F123" s="33"/>
      <c r="G123" s="33"/>
    </row>
    <row r="124" ht="16.5" spans="1:7">
      <c r="A124" s="189"/>
      <c r="B124" s="189"/>
      <c r="C124" s="190" t="s">
        <v>209</v>
      </c>
      <c r="D124" s="191">
        <f>D118</f>
        <v>296.15</v>
      </c>
      <c r="E124" s="33"/>
      <c r="F124" s="33"/>
      <c r="G124" s="33"/>
    </row>
    <row r="125" ht="16.5" spans="1:7">
      <c r="A125" s="189"/>
      <c r="B125" s="189"/>
      <c r="C125" s="192" t="s">
        <v>190</v>
      </c>
      <c r="D125" s="193">
        <f>TRUNC((SUM(D120:D124)),2)</f>
        <v>4275.98</v>
      </c>
      <c r="E125" s="33"/>
      <c r="F125" s="33"/>
      <c r="G125" s="33"/>
    </row>
    <row r="126" ht="15.75" spans="1:7">
      <c r="A126" s="33"/>
      <c r="B126" s="33"/>
      <c r="C126" s="33"/>
      <c r="D126" s="33"/>
      <c r="E126" s="33"/>
      <c r="F126" s="33"/>
      <c r="G126" s="33"/>
    </row>
    <row r="127" spans="1:7">
      <c r="A127" s="163" t="s">
        <v>150</v>
      </c>
      <c r="B127" s="163"/>
      <c r="C127" s="163"/>
      <c r="D127" s="163"/>
      <c r="E127" s="33"/>
      <c r="F127" s="33"/>
      <c r="G127" s="33"/>
    </row>
    <row r="128" spans="1:7">
      <c r="A128" s="180" t="s">
        <v>151</v>
      </c>
      <c r="B128" s="33" t="s">
        <v>152</v>
      </c>
      <c r="C128" s="180" t="s">
        <v>24</v>
      </c>
      <c r="D128" s="180" t="s">
        <v>5</v>
      </c>
      <c r="E128" s="33"/>
      <c r="F128" s="213" t="s">
        <v>210</v>
      </c>
      <c r="G128" s="213"/>
    </row>
    <row r="129" ht="15.75" spans="1:7">
      <c r="A129" s="180" t="s">
        <v>28</v>
      </c>
      <c r="B129" s="33" t="s">
        <v>153</v>
      </c>
      <c r="C129" s="195">
        <v>0.044</v>
      </c>
      <c r="D129" s="182">
        <f>TRUNC(($D$125*C129),2)</f>
        <v>188.14</v>
      </c>
      <c r="E129" s="33"/>
      <c r="F129" s="214" t="s">
        <v>211</v>
      </c>
      <c r="G129" s="203">
        <f>C131</f>
        <v>0.0865</v>
      </c>
    </row>
    <row r="130" ht="15.75" spans="1:7">
      <c r="A130" s="180" t="s">
        <v>31</v>
      </c>
      <c r="B130" s="33" t="s">
        <v>45</v>
      </c>
      <c r="C130" s="195">
        <v>0.0413</v>
      </c>
      <c r="D130" s="182">
        <f>TRUNC((C130*(D125+D129)),2)</f>
        <v>184.36</v>
      </c>
      <c r="E130" s="33"/>
      <c r="F130" s="215" t="s">
        <v>212</v>
      </c>
      <c r="G130" s="224">
        <f>TRUNC(SUM(D125,D129,D130),2)</f>
        <v>4648.48</v>
      </c>
    </row>
    <row r="131" spans="1:7">
      <c r="A131" s="180" t="s">
        <v>34</v>
      </c>
      <c r="B131" s="33" t="s">
        <v>154</v>
      </c>
      <c r="C131" s="195">
        <f>SUM(C132:C134)</f>
        <v>0.0865</v>
      </c>
      <c r="D131" s="182">
        <f>TRUNC((SUM(D132:D134)),2)</f>
        <v>440.15</v>
      </c>
      <c r="E131" s="33"/>
      <c r="F131" s="214" t="s">
        <v>213</v>
      </c>
      <c r="G131" s="217">
        <f>(100-8.65)/100</f>
        <v>0.9135</v>
      </c>
    </row>
    <row r="132" ht="15.75" spans="1:7">
      <c r="A132" s="180"/>
      <c r="B132" s="33" t="s">
        <v>214</v>
      </c>
      <c r="C132" s="195">
        <v>0.0065</v>
      </c>
      <c r="D132" s="182">
        <f t="shared" ref="D132:D134" si="3">TRUNC(($G$132*C132),2)</f>
        <v>33.07</v>
      </c>
      <c r="E132" s="33"/>
      <c r="F132" s="215" t="s">
        <v>210</v>
      </c>
      <c r="G132" s="224">
        <f>TRUNC((G130/G131),2)</f>
        <v>5088.64</v>
      </c>
    </row>
    <row r="133" ht="15.75" spans="1:7">
      <c r="A133" s="180"/>
      <c r="B133" s="33" t="s">
        <v>215</v>
      </c>
      <c r="C133" s="195">
        <v>0.03</v>
      </c>
      <c r="D133" s="182">
        <f t="shared" si="3"/>
        <v>152.65</v>
      </c>
      <c r="E133" s="33"/>
      <c r="F133" s="33"/>
      <c r="G133" s="33"/>
    </row>
    <row r="134" spans="1:7">
      <c r="A134" s="180"/>
      <c r="B134" s="33" t="s">
        <v>216</v>
      </c>
      <c r="C134" s="195">
        <v>0.05</v>
      </c>
      <c r="D134" s="182">
        <f t="shared" si="3"/>
        <v>254.43</v>
      </c>
      <c r="E134" s="33"/>
      <c r="F134" s="33"/>
      <c r="G134" s="33"/>
    </row>
    <row r="135" spans="1:7">
      <c r="A135" s="180" t="s">
        <v>44</v>
      </c>
      <c r="B135" s="33"/>
      <c r="C135" s="180"/>
      <c r="D135" s="185">
        <f>TRUNC(SUM(D129:D131),2)</f>
        <v>812.65</v>
      </c>
      <c r="E135" s="33"/>
      <c r="F135" s="33"/>
      <c r="G135" s="33"/>
    </row>
    <row r="136" spans="1:7">
      <c r="A136" s="180"/>
      <c r="B136" s="33"/>
      <c r="C136" s="180"/>
      <c r="D136" s="185"/>
      <c r="E136" s="33"/>
      <c r="F136" s="33"/>
      <c r="G136" s="33"/>
    </row>
    <row r="137" spans="1:7">
      <c r="A137" s="33"/>
      <c r="B137" s="33"/>
      <c r="C137" s="33"/>
      <c r="D137" s="33"/>
      <c r="E137" s="33"/>
      <c r="F137" s="33"/>
      <c r="G137" s="33"/>
    </row>
    <row r="138" spans="1:7">
      <c r="A138" s="163" t="s">
        <v>158</v>
      </c>
      <c r="B138" s="163"/>
      <c r="C138" s="163"/>
      <c r="D138" s="163"/>
      <c r="E138" s="33"/>
      <c r="F138" s="33"/>
      <c r="G138" s="33"/>
    </row>
    <row r="139" spans="1:7">
      <c r="A139" s="180" t="s">
        <v>2</v>
      </c>
      <c r="B139" s="180" t="s">
        <v>159</v>
      </c>
      <c r="C139" s="180" t="s">
        <v>88</v>
      </c>
      <c r="D139" s="180" t="s">
        <v>5</v>
      </c>
      <c r="E139" s="33"/>
      <c r="F139" s="33"/>
      <c r="G139" s="33"/>
    </row>
    <row r="140" spans="1:7">
      <c r="A140" s="180" t="s">
        <v>28</v>
      </c>
      <c r="B140" s="33" t="s">
        <v>22</v>
      </c>
      <c r="C140" s="33"/>
      <c r="D140" s="185">
        <f>D31</f>
        <v>1986.4</v>
      </c>
      <c r="E140" s="33"/>
      <c r="F140" s="33"/>
      <c r="G140" s="33"/>
    </row>
    <row r="141" spans="1:7">
      <c r="A141" s="180" t="s">
        <v>31</v>
      </c>
      <c r="B141" s="33" t="s">
        <v>47</v>
      </c>
      <c r="C141" s="33"/>
      <c r="D141" s="185">
        <f>D72</f>
        <v>1767.02</v>
      </c>
      <c r="E141" s="33"/>
      <c r="F141" s="33"/>
      <c r="G141" s="33"/>
    </row>
    <row r="142" spans="1:7">
      <c r="A142" s="180" t="s">
        <v>34</v>
      </c>
      <c r="B142" s="33" t="s">
        <v>94</v>
      </c>
      <c r="C142" s="33"/>
      <c r="D142" s="185">
        <f>D82</f>
        <v>123.77</v>
      </c>
      <c r="E142" s="33"/>
      <c r="F142" s="33"/>
      <c r="G142" s="33"/>
    </row>
    <row r="143" spans="1:7">
      <c r="A143" s="180" t="s">
        <v>36</v>
      </c>
      <c r="B143" s="33" t="s">
        <v>160</v>
      </c>
      <c r="C143" s="33"/>
      <c r="D143" s="185">
        <f>D109</f>
        <v>102.64</v>
      </c>
      <c r="E143" s="33"/>
      <c r="F143" s="33"/>
      <c r="G143" s="33"/>
    </row>
    <row r="144" spans="1:7">
      <c r="A144" s="180" t="s">
        <v>39</v>
      </c>
      <c r="B144" s="33" t="s">
        <v>138</v>
      </c>
      <c r="C144" s="33"/>
      <c r="D144" s="185">
        <f>D118</f>
        <v>296.15</v>
      </c>
      <c r="E144" s="33"/>
      <c r="F144" s="33"/>
      <c r="G144" s="33"/>
    </row>
    <row r="145" spans="1:7">
      <c r="A145" s="33"/>
      <c r="B145" s="218" t="s">
        <v>161</v>
      </c>
      <c r="C145" s="33"/>
      <c r="D145" s="185">
        <f>TRUNC(SUM(D140:D144),2)</f>
        <v>4275.98</v>
      </c>
      <c r="E145" s="33"/>
      <c r="F145" s="33"/>
      <c r="G145" s="33"/>
    </row>
    <row r="146" spans="1:7">
      <c r="A146" s="180" t="s">
        <v>41</v>
      </c>
      <c r="B146" s="33" t="s">
        <v>150</v>
      </c>
      <c r="C146" s="33"/>
      <c r="D146" s="185">
        <f>D135</f>
        <v>812.65</v>
      </c>
      <c r="E146" s="33"/>
      <c r="F146" s="33"/>
      <c r="G146" s="33"/>
    </row>
    <row r="147" spans="1:7">
      <c r="A147" s="219"/>
      <c r="B147" s="220" t="s">
        <v>217</v>
      </c>
      <c r="C147" s="219"/>
      <c r="D147" s="221">
        <f>TRUNC((SUM(D140:D144)+D146),2)</f>
        <v>5088.63</v>
      </c>
      <c r="E147" s="33"/>
      <c r="F147" s="33"/>
      <c r="G147" s="33"/>
    </row>
  </sheetData>
  <mergeCells count="33">
    <mergeCell ref="A2:D2"/>
    <mergeCell ref="A3:D3"/>
    <mergeCell ref="A6:D6"/>
    <mergeCell ref="C7:D7"/>
    <mergeCell ref="C8:D8"/>
    <mergeCell ref="C9:D9"/>
    <mergeCell ref="C10:D10"/>
    <mergeCell ref="A11:D11"/>
    <mergeCell ref="A12:B12"/>
    <mergeCell ref="A13:B13"/>
    <mergeCell ref="A14:B14"/>
    <mergeCell ref="A15:D15"/>
    <mergeCell ref="F15:G15"/>
    <mergeCell ref="F22:G22"/>
    <mergeCell ref="A23:D23"/>
    <mergeCell ref="F31:G31"/>
    <mergeCell ref="A33:D33"/>
    <mergeCell ref="A35:D35"/>
    <mergeCell ref="A45:D45"/>
    <mergeCell ref="A57:D57"/>
    <mergeCell ref="A67:D67"/>
    <mergeCell ref="A74:D74"/>
    <mergeCell ref="A89:D89"/>
    <mergeCell ref="A90:D90"/>
    <mergeCell ref="A100:D100"/>
    <mergeCell ref="A105:D105"/>
    <mergeCell ref="A111:D111"/>
    <mergeCell ref="A127:D127"/>
    <mergeCell ref="F128:G128"/>
    <mergeCell ref="A138:D138"/>
    <mergeCell ref="A41:B43"/>
    <mergeCell ref="A84:B87"/>
    <mergeCell ref="A120:B125"/>
  </mergeCells>
  <pageMargins left="0.75" right="0.75" top="1" bottom="1" header="0.5" footer="0.5"/>
  <pageSetup paperSize="9" orientation="landscape"/>
  <headerFooter/>
  <tableParts count="13">
    <tablePart r:id="rId1"/>
    <tablePart r:id="rId2"/>
    <tablePart r:id="rId3"/>
    <tablePart r:id="rId4"/>
    <tablePart r:id="rId5"/>
    <tablePart r:id="rId6"/>
    <tablePart r:id="rId7"/>
    <tablePart r:id="rId8"/>
    <tablePart r:id="rId9"/>
    <tablePart r:id="rId10"/>
    <tablePart r:id="rId11"/>
    <tablePart r:id="rId12"/>
    <tablePart r:id="rId13"/>
  </tableParts>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147"/>
  <sheetViews>
    <sheetView workbookViewId="0">
      <selection activeCell="D147" sqref="A2:D147"/>
    </sheetView>
  </sheetViews>
  <sheetFormatPr defaultColWidth="9.14285714285714" defaultRowHeight="15" outlineLevelCol="6"/>
  <cols>
    <col min="1" max="1" width="11" customWidth="1"/>
    <col min="2" max="2" width="52.8571428571429" customWidth="1"/>
    <col min="3" max="3" width="28.2857142857143" customWidth="1"/>
    <col min="4" max="4" width="35.4285714285714" customWidth="1"/>
    <col min="6" max="6" width="23.7142857142857" customWidth="1"/>
    <col min="7" max="7" width="13.7142857142857" customWidth="1"/>
  </cols>
  <sheetData>
    <row r="1" spans="1:7">
      <c r="A1" s="33"/>
      <c r="B1" s="33"/>
      <c r="C1" s="33"/>
      <c r="D1" s="33"/>
      <c r="E1" s="33"/>
      <c r="F1" s="33"/>
      <c r="G1" s="33"/>
    </row>
    <row r="2" ht="19.5" spans="1:7">
      <c r="A2" s="156" t="s">
        <v>163</v>
      </c>
      <c r="B2" s="156"/>
      <c r="C2" s="156"/>
      <c r="D2" s="156"/>
      <c r="E2" s="33"/>
      <c r="F2" s="33"/>
      <c r="G2" s="33"/>
    </row>
    <row r="3" ht="15.75" spans="1:7">
      <c r="A3" s="157" t="s">
        <v>228</v>
      </c>
      <c r="B3" s="157"/>
      <c r="C3" s="157"/>
      <c r="D3" s="157"/>
      <c r="E3" s="33"/>
      <c r="F3" s="33"/>
      <c r="G3" s="33"/>
    </row>
    <row r="4" spans="1:7">
      <c r="A4" s="158" t="s">
        <v>165</v>
      </c>
      <c r="B4" s="159" t="s">
        <v>166</v>
      </c>
      <c r="C4" s="160"/>
      <c r="D4" s="160"/>
      <c r="E4" s="33"/>
      <c r="F4" s="33"/>
      <c r="G4" s="33"/>
    </row>
    <row r="5" spans="1:7">
      <c r="A5" s="161"/>
      <c r="B5" s="162"/>
      <c r="C5" s="162"/>
      <c r="D5" s="162"/>
      <c r="E5" s="33"/>
      <c r="F5" s="33"/>
      <c r="G5" s="33"/>
    </row>
    <row r="6" ht="15.75" spans="1:7">
      <c r="A6" s="163" t="s">
        <v>167</v>
      </c>
      <c r="B6" s="163"/>
      <c r="C6" s="163"/>
      <c r="D6" s="163"/>
      <c r="E6" s="33"/>
      <c r="F6" s="33"/>
      <c r="G6" s="33"/>
    </row>
    <row r="7" ht="15.75" spans="1:7">
      <c r="A7" s="164" t="s">
        <v>28</v>
      </c>
      <c r="B7" s="165" t="s">
        <v>168</v>
      </c>
      <c r="C7" s="166" t="s">
        <v>169</v>
      </c>
      <c r="D7" s="166"/>
      <c r="E7" s="33"/>
      <c r="F7" s="33"/>
      <c r="G7" s="33"/>
    </row>
    <row r="8" spans="1:7">
      <c r="A8" s="167" t="s">
        <v>31</v>
      </c>
      <c r="B8" s="168" t="s">
        <v>170</v>
      </c>
      <c r="C8" s="169" t="s">
        <v>171</v>
      </c>
      <c r="D8" s="169"/>
      <c r="E8" s="33"/>
      <c r="F8" s="33"/>
      <c r="G8" s="33"/>
    </row>
    <row r="9" spans="1:7">
      <c r="A9" s="170" t="s">
        <v>34</v>
      </c>
      <c r="B9" s="171" t="s">
        <v>172</v>
      </c>
      <c r="C9" s="169" t="s">
        <v>229</v>
      </c>
      <c r="D9" s="169"/>
      <c r="E9" s="33"/>
      <c r="F9" s="33"/>
      <c r="G9" s="33"/>
    </row>
    <row r="10" spans="1:7">
      <c r="A10" s="167" t="s">
        <v>39</v>
      </c>
      <c r="B10" s="168" t="s">
        <v>174</v>
      </c>
      <c r="C10" s="169" t="s">
        <v>175</v>
      </c>
      <c r="D10" s="169"/>
      <c r="E10" s="33"/>
      <c r="F10" s="33"/>
      <c r="G10" s="33"/>
    </row>
    <row r="11" ht="15.75" spans="1:7">
      <c r="A11" s="172" t="s">
        <v>176</v>
      </c>
      <c r="B11" s="172"/>
      <c r="C11" s="172"/>
      <c r="D11" s="172"/>
      <c r="E11" s="33"/>
      <c r="F11" s="33"/>
      <c r="G11" s="33"/>
    </row>
    <row r="12" ht="16.5" spans="1:7">
      <c r="A12" s="173" t="s">
        <v>177</v>
      </c>
      <c r="B12" s="173"/>
      <c r="C12" s="172" t="s">
        <v>178</v>
      </c>
      <c r="D12" s="174" t="s">
        <v>179</v>
      </c>
      <c r="E12" s="33"/>
      <c r="F12" s="33"/>
      <c r="G12" s="33"/>
    </row>
    <row r="13" ht="15.75" spans="1:7">
      <c r="A13" s="175" t="s">
        <v>235</v>
      </c>
      <c r="B13" s="175"/>
      <c r="C13" s="169" t="s">
        <v>181</v>
      </c>
      <c r="D13" s="176">
        <f>RESUMO!D7</f>
        <v>1</v>
      </c>
      <c r="E13" s="33"/>
      <c r="F13" s="33"/>
      <c r="G13" s="33"/>
    </row>
    <row r="14" spans="1:7">
      <c r="A14" s="177"/>
      <c r="B14" s="177"/>
      <c r="C14" s="169"/>
      <c r="D14" s="178"/>
      <c r="E14" s="33"/>
      <c r="F14" s="33"/>
      <c r="G14" s="33"/>
    </row>
    <row r="15" ht="15.75" spans="1:7">
      <c r="A15" s="172" t="s">
        <v>0</v>
      </c>
      <c r="B15" s="172"/>
      <c r="C15" s="172"/>
      <c r="D15" s="172"/>
      <c r="E15" s="33"/>
      <c r="F15" s="179"/>
      <c r="G15" s="179"/>
    </row>
    <row r="16" ht="15.75" spans="1:7">
      <c r="A16" s="180" t="s">
        <v>2</v>
      </c>
      <c r="B16" s="33" t="s">
        <v>3</v>
      </c>
      <c r="C16" s="180" t="s">
        <v>4</v>
      </c>
      <c r="D16" s="180" t="s">
        <v>5</v>
      </c>
      <c r="E16" s="33"/>
      <c r="F16" s="33"/>
      <c r="G16" s="33"/>
    </row>
    <row r="17" spans="1:7">
      <c r="A17" s="180">
        <v>1</v>
      </c>
      <c r="B17" s="33" t="s">
        <v>6</v>
      </c>
      <c r="C17" s="181" t="s">
        <v>88</v>
      </c>
      <c r="D17" s="181" t="str">
        <f>A13</f>
        <v>Auxiliar de Manutenção Predial</v>
      </c>
      <c r="E17" s="33"/>
      <c r="F17" s="33"/>
      <c r="G17" s="33"/>
    </row>
    <row r="18" spans="1:7">
      <c r="A18" s="180">
        <v>2</v>
      </c>
      <c r="B18" s="33" t="s">
        <v>9</v>
      </c>
      <c r="C18" s="181" t="s">
        <v>182</v>
      </c>
      <c r="D18" s="181" t="s">
        <v>236</v>
      </c>
      <c r="E18" s="33"/>
      <c r="F18" s="33"/>
      <c r="G18" s="33"/>
    </row>
    <row r="19" spans="1:7">
      <c r="A19" s="180">
        <v>3</v>
      </c>
      <c r="B19" s="33" t="s">
        <v>12</v>
      </c>
      <c r="C19" s="181" t="str">
        <f>C9</f>
        <v>CCT PB 000047/2021</v>
      </c>
      <c r="D19" s="182">
        <v>1640</v>
      </c>
      <c r="E19" s="33"/>
      <c r="F19" s="33"/>
      <c r="G19" s="33"/>
    </row>
    <row r="20" spans="1:7">
      <c r="A20" s="180">
        <v>4</v>
      </c>
      <c r="B20" s="33" t="s">
        <v>15</v>
      </c>
      <c r="C20" s="181" t="str">
        <f>C9</f>
        <v>CCT PB 000047/2021</v>
      </c>
      <c r="D20" s="181" t="s">
        <v>184</v>
      </c>
      <c r="E20" s="33"/>
      <c r="F20" s="33"/>
      <c r="G20" s="33"/>
    </row>
    <row r="21" spans="1:7">
      <c r="A21" s="180">
        <v>5</v>
      </c>
      <c r="B21" s="33" t="s">
        <v>19</v>
      </c>
      <c r="C21" s="181" t="str">
        <f>C9</f>
        <v>CCT PB 000047/2021</v>
      </c>
      <c r="D21" s="183" t="s">
        <v>185</v>
      </c>
      <c r="E21" s="33"/>
      <c r="F21" s="33"/>
      <c r="G21" s="33"/>
    </row>
    <row r="22" spans="1:7">
      <c r="A22" s="33"/>
      <c r="B22" s="33"/>
      <c r="C22" s="33"/>
      <c r="D22" s="33"/>
      <c r="E22" s="33"/>
      <c r="F22" s="179"/>
      <c r="G22" s="179"/>
    </row>
    <row r="23" spans="1:7">
      <c r="A23" s="163" t="s">
        <v>22</v>
      </c>
      <c r="B23" s="163"/>
      <c r="C23" s="163"/>
      <c r="D23" s="163"/>
      <c r="E23" s="33"/>
      <c r="F23" s="33"/>
      <c r="G23" s="33"/>
    </row>
    <row r="24" spans="1:7">
      <c r="A24" s="180" t="s">
        <v>25</v>
      </c>
      <c r="B24" s="33" t="s">
        <v>26</v>
      </c>
      <c r="C24" s="180" t="s">
        <v>4</v>
      </c>
      <c r="D24" s="180" t="s">
        <v>5</v>
      </c>
      <c r="E24" s="33"/>
      <c r="F24" s="33"/>
      <c r="G24" s="184"/>
    </row>
    <row r="25" spans="1:7">
      <c r="A25" s="180" t="s">
        <v>28</v>
      </c>
      <c r="B25" s="33" t="s">
        <v>29</v>
      </c>
      <c r="C25" s="181" t="s">
        <v>237</v>
      </c>
      <c r="D25" s="182">
        <f>D19</f>
        <v>1640</v>
      </c>
      <c r="E25" s="33"/>
      <c r="F25" s="33"/>
      <c r="G25" s="184"/>
    </row>
    <row r="26" spans="1:7">
      <c r="A26" s="180" t="s">
        <v>31</v>
      </c>
      <c r="B26" s="33" t="s">
        <v>32</v>
      </c>
      <c r="C26" s="181"/>
      <c r="D26" s="182">
        <v>0</v>
      </c>
      <c r="E26" s="33"/>
      <c r="F26" s="33"/>
      <c r="G26" s="184"/>
    </row>
    <row r="27" spans="1:7">
      <c r="A27" s="180" t="s">
        <v>34</v>
      </c>
      <c r="B27" s="33" t="s">
        <v>35</v>
      </c>
      <c r="C27" s="181"/>
      <c r="D27" s="182">
        <v>0</v>
      </c>
      <c r="E27" s="33"/>
      <c r="F27" s="33"/>
      <c r="G27" s="33"/>
    </row>
    <row r="28" spans="1:7">
      <c r="A28" s="180" t="s">
        <v>36</v>
      </c>
      <c r="B28" s="33" t="s">
        <v>37</v>
      </c>
      <c r="C28" s="181"/>
      <c r="D28" s="182">
        <v>0</v>
      </c>
      <c r="E28" s="33"/>
      <c r="F28" s="33"/>
      <c r="G28" s="33"/>
    </row>
    <row r="29" spans="1:7">
      <c r="A29" s="180" t="s">
        <v>39</v>
      </c>
      <c r="B29" s="33" t="s">
        <v>40</v>
      </c>
      <c r="C29" s="181"/>
      <c r="D29" s="182">
        <v>0</v>
      </c>
      <c r="E29" s="33"/>
      <c r="F29" s="33"/>
      <c r="G29" s="33"/>
    </row>
    <row r="30" spans="1:7">
      <c r="A30" s="180" t="s">
        <v>41</v>
      </c>
      <c r="B30" s="33" t="s">
        <v>42</v>
      </c>
      <c r="C30" s="181"/>
      <c r="D30" s="182">
        <v>0</v>
      </c>
      <c r="E30" s="33"/>
      <c r="F30" s="33"/>
      <c r="G30" s="33"/>
    </row>
    <row r="31" spans="1:7">
      <c r="A31" s="180" t="s">
        <v>44</v>
      </c>
      <c r="B31" s="33"/>
      <c r="C31" s="180"/>
      <c r="D31" s="185">
        <f>TRUNC(SUM(D25:D30),2)</f>
        <v>1640</v>
      </c>
      <c r="E31" s="33"/>
      <c r="F31" s="179"/>
      <c r="G31" s="179"/>
    </row>
    <row r="32" spans="1:7">
      <c r="A32" s="33"/>
      <c r="B32" s="33"/>
      <c r="C32" s="33"/>
      <c r="D32" s="33"/>
      <c r="E32" s="33"/>
      <c r="F32" s="33"/>
      <c r="G32" s="33"/>
    </row>
    <row r="33" spans="1:7">
      <c r="A33" s="186" t="s">
        <v>47</v>
      </c>
      <c r="B33" s="186"/>
      <c r="C33" s="186"/>
      <c r="D33" s="186"/>
      <c r="E33" s="33"/>
      <c r="F33" s="33"/>
      <c r="G33" s="184"/>
    </row>
    <row r="34" spans="1:7">
      <c r="A34" s="33"/>
      <c r="B34" s="33"/>
      <c r="C34" s="33"/>
      <c r="D34" s="33"/>
      <c r="E34" s="33"/>
      <c r="F34" s="33"/>
      <c r="G34" s="33"/>
    </row>
    <row r="35" spans="1:7">
      <c r="A35" s="179" t="s">
        <v>49</v>
      </c>
      <c r="B35" s="179"/>
      <c r="C35" s="179"/>
      <c r="D35" s="179"/>
      <c r="E35" s="33"/>
      <c r="F35" s="33"/>
      <c r="G35" s="33"/>
    </row>
    <row r="36" spans="1:7">
      <c r="A36" s="180" t="s">
        <v>51</v>
      </c>
      <c r="B36" s="33" t="s">
        <v>52</v>
      </c>
      <c r="C36" s="180" t="s">
        <v>24</v>
      </c>
      <c r="D36" s="180" t="s">
        <v>5</v>
      </c>
      <c r="E36" s="33"/>
      <c r="F36" s="33"/>
      <c r="G36" s="33"/>
    </row>
    <row r="37" spans="1:7">
      <c r="A37" s="180" t="s">
        <v>28</v>
      </c>
      <c r="B37" s="33" t="s">
        <v>53</v>
      </c>
      <c r="C37" s="187">
        <f>(1/12)</f>
        <v>0.0833333333333333</v>
      </c>
      <c r="D37" s="185">
        <f>TRUNC($D$31*C37,2)</f>
        <v>136.66</v>
      </c>
      <c r="E37" s="33"/>
      <c r="F37" s="188"/>
      <c r="G37" s="188"/>
    </row>
    <row r="38" spans="1:7">
      <c r="A38" s="180" t="s">
        <v>31</v>
      </c>
      <c r="B38" s="33" t="s">
        <v>54</v>
      </c>
      <c r="C38" s="187">
        <f>(((1+1/3)/12))</f>
        <v>0.111111111111111</v>
      </c>
      <c r="D38" s="185">
        <f>TRUNC($D$31*C38,2)</f>
        <v>182.22</v>
      </c>
      <c r="E38" s="33"/>
      <c r="F38" s="188"/>
      <c r="G38" s="188"/>
    </row>
    <row r="39" spans="1:7">
      <c r="A39" s="180" t="s">
        <v>44</v>
      </c>
      <c r="B39" s="33"/>
      <c r="C39" s="33"/>
      <c r="D39" s="185">
        <f>TRUNC((SUM(D37:D38)),2)</f>
        <v>318.88</v>
      </c>
      <c r="E39" s="33"/>
      <c r="F39" s="188"/>
      <c r="G39" s="188"/>
    </row>
    <row r="40" ht="15.75" spans="1:7">
      <c r="A40" s="33"/>
      <c r="B40" s="33"/>
      <c r="C40" s="33"/>
      <c r="D40" s="185"/>
      <c r="E40" s="33"/>
      <c r="F40" s="188"/>
      <c r="G40" s="188"/>
    </row>
    <row r="41" ht="16.5" spans="1:7">
      <c r="A41" s="189" t="s">
        <v>187</v>
      </c>
      <c r="B41" s="189"/>
      <c r="C41" s="190" t="s">
        <v>188</v>
      </c>
      <c r="D41" s="191">
        <f>D31</f>
        <v>1640</v>
      </c>
      <c r="E41" s="33"/>
      <c r="F41" s="188"/>
      <c r="G41" s="188"/>
    </row>
    <row r="42" ht="16.5" spans="1:7">
      <c r="A42" s="189"/>
      <c r="B42" s="189"/>
      <c r="C42" s="192" t="s">
        <v>189</v>
      </c>
      <c r="D42" s="191">
        <f>D39</f>
        <v>318.88</v>
      </c>
      <c r="E42" s="33"/>
      <c r="F42" s="188"/>
      <c r="G42" s="188"/>
    </row>
    <row r="43" ht="16.5" spans="1:7">
      <c r="A43" s="189"/>
      <c r="B43" s="189"/>
      <c r="C43" s="190" t="s">
        <v>190</v>
      </c>
      <c r="D43" s="193">
        <f>TRUNC((SUM(D41:D42)),2)</f>
        <v>1958.88</v>
      </c>
      <c r="E43" s="33"/>
      <c r="F43" s="188"/>
      <c r="G43" s="188"/>
    </row>
    <row r="44" ht="15.75" spans="1:7">
      <c r="A44" s="180"/>
      <c r="B44" s="33"/>
      <c r="C44" s="194"/>
      <c r="D44" s="185"/>
      <c r="E44" s="33"/>
      <c r="F44" s="188"/>
      <c r="G44" s="188"/>
    </row>
    <row r="45" spans="1:7">
      <c r="A45" s="179" t="s">
        <v>63</v>
      </c>
      <c r="B45" s="179"/>
      <c r="C45" s="179"/>
      <c r="D45" s="179"/>
      <c r="E45" s="33"/>
      <c r="F45" s="33"/>
      <c r="G45" s="33"/>
    </row>
    <row r="46" spans="1:7">
      <c r="A46" s="180" t="s">
        <v>64</v>
      </c>
      <c r="B46" s="33" t="s">
        <v>65</v>
      </c>
      <c r="C46" s="180" t="s">
        <v>24</v>
      </c>
      <c r="D46" s="180" t="s">
        <v>66</v>
      </c>
      <c r="E46" s="33"/>
      <c r="F46" s="33"/>
      <c r="G46" s="33"/>
    </row>
    <row r="47" spans="1:7">
      <c r="A47" s="180" t="s">
        <v>28</v>
      </c>
      <c r="B47" s="33" t="s">
        <v>67</v>
      </c>
      <c r="C47" s="187">
        <v>0.2</v>
      </c>
      <c r="D47" s="185">
        <f t="shared" ref="D47:D54" si="0">TRUNC(($D$43*C47),2)</f>
        <v>391.77</v>
      </c>
      <c r="E47" s="33"/>
      <c r="F47" s="33"/>
      <c r="G47" s="33"/>
    </row>
    <row r="48" spans="1:7">
      <c r="A48" s="180" t="s">
        <v>31</v>
      </c>
      <c r="B48" s="33" t="s">
        <v>68</v>
      </c>
      <c r="C48" s="187">
        <v>0.025</v>
      </c>
      <c r="D48" s="185">
        <f t="shared" si="0"/>
        <v>48.97</v>
      </c>
      <c r="E48" s="33"/>
      <c r="F48" s="33"/>
      <c r="G48" s="33"/>
    </row>
    <row r="49" spans="1:7">
      <c r="A49" s="180" t="s">
        <v>34</v>
      </c>
      <c r="B49" s="33" t="s">
        <v>191</v>
      </c>
      <c r="C49" s="195">
        <v>0.06</v>
      </c>
      <c r="D49" s="182">
        <f t="shared" si="0"/>
        <v>117.53</v>
      </c>
      <c r="E49" s="33"/>
      <c r="F49" s="33"/>
      <c r="G49" s="33"/>
    </row>
    <row r="50" spans="1:7">
      <c r="A50" s="180" t="s">
        <v>36</v>
      </c>
      <c r="B50" s="33" t="s">
        <v>70</v>
      </c>
      <c r="C50" s="187">
        <v>0.015</v>
      </c>
      <c r="D50" s="185">
        <f t="shared" si="0"/>
        <v>29.38</v>
      </c>
      <c r="E50" s="33"/>
      <c r="F50" s="33"/>
      <c r="G50" s="33"/>
    </row>
    <row r="51" spans="1:7">
      <c r="A51" s="180" t="s">
        <v>39</v>
      </c>
      <c r="B51" s="33" t="s">
        <v>71</v>
      </c>
      <c r="C51" s="187">
        <v>0.01</v>
      </c>
      <c r="D51" s="185">
        <f t="shared" si="0"/>
        <v>19.58</v>
      </c>
      <c r="E51" s="33"/>
      <c r="F51" s="33"/>
      <c r="G51" s="33"/>
    </row>
    <row r="52" spans="1:7">
      <c r="A52" s="180" t="s">
        <v>41</v>
      </c>
      <c r="B52" s="33" t="s">
        <v>72</v>
      </c>
      <c r="C52" s="187">
        <v>0.006</v>
      </c>
      <c r="D52" s="185">
        <f t="shared" si="0"/>
        <v>11.75</v>
      </c>
      <c r="E52" s="33"/>
      <c r="F52" s="33"/>
      <c r="G52" s="33"/>
    </row>
    <row r="53" spans="1:7">
      <c r="A53" s="180" t="s">
        <v>73</v>
      </c>
      <c r="B53" s="33" t="s">
        <v>74</v>
      </c>
      <c r="C53" s="187">
        <v>0.002</v>
      </c>
      <c r="D53" s="185">
        <f t="shared" si="0"/>
        <v>3.91</v>
      </c>
      <c r="E53" s="33"/>
      <c r="F53" s="33"/>
      <c r="G53" s="33"/>
    </row>
    <row r="54" spans="1:7">
      <c r="A54" s="180" t="s">
        <v>75</v>
      </c>
      <c r="B54" s="33" t="s">
        <v>76</v>
      </c>
      <c r="C54" s="187">
        <v>0.08</v>
      </c>
      <c r="D54" s="185">
        <f t="shared" si="0"/>
        <v>156.71</v>
      </c>
      <c r="E54" s="33"/>
      <c r="F54" s="33"/>
      <c r="G54" s="33"/>
    </row>
    <row r="55" spans="1:7">
      <c r="A55" s="180" t="s">
        <v>44</v>
      </c>
      <c r="B55" s="33"/>
      <c r="C55" s="194">
        <f>SUM(C47:C54)</f>
        <v>0.398</v>
      </c>
      <c r="D55" s="185">
        <f>TRUNC((SUM(D47:D54)),2)</f>
        <v>779.6</v>
      </c>
      <c r="E55" s="33"/>
      <c r="F55" s="33"/>
      <c r="G55" s="33"/>
    </row>
    <row r="56" spans="1:7">
      <c r="A56" s="180"/>
      <c r="B56" s="33"/>
      <c r="C56" s="194"/>
      <c r="D56" s="185"/>
      <c r="E56" s="33"/>
      <c r="F56" s="33"/>
      <c r="G56" s="33"/>
    </row>
    <row r="57" spans="1:7">
      <c r="A57" s="179" t="s">
        <v>81</v>
      </c>
      <c r="B57" s="179"/>
      <c r="C57" s="179"/>
      <c r="D57" s="179"/>
      <c r="E57" s="33"/>
      <c r="F57" s="33"/>
      <c r="G57" s="33"/>
    </row>
    <row r="58" spans="1:7">
      <c r="A58" s="180" t="s">
        <v>82</v>
      </c>
      <c r="B58" s="33" t="s">
        <v>83</v>
      </c>
      <c r="C58" s="180" t="s">
        <v>4</v>
      </c>
      <c r="D58" s="180" t="s">
        <v>5</v>
      </c>
      <c r="E58" s="33"/>
      <c r="F58" s="33"/>
      <c r="G58" s="33"/>
    </row>
    <row r="59" spans="1:7">
      <c r="A59" s="180" t="s">
        <v>28</v>
      </c>
      <c r="B59" s="33" t="s">
        <v>84</v>
      </c>
      <c r="C59" s="181"/>
      <c r="D59" s="182">
        <f>TRUNC(((22*4.35)*2)-((D25/100)*6),2)</f>
        <v>93</v>
      </c>
      <c r="E59" s="33"/>
      <c r="F59" s="33"/>
      <c r="G59" s="33"/>
    </row>
    <row r="60" spans="1:7">
      <c r="A60" s="180" t="s">
        <v>31</v>
      </c>
      <c r="B60" s="33" t="s">
        <v>85</v>
      </c>
      <c r="C60" s="181" t="str">
        <f>C9</f>
        <v>CCT PB 000047/2021</v>
      </c>
      <c r="D60" s="182">
        <f>TRUNC((((22*18))-(((22*18))*0.2)),2)</f>
        <v>316.8</v>
      </c>
      <c r="E60" s="33"/>
      <c r="F60" s="33"/>
      <c r="G60" s="33"/>
    </row>
    <row r="61" spans="1:7">
      <c r="A61" s="180" t="s">
        <v>34</v>
      </c>
      <c r="B61" s="33" t="s">
        <v>86</v>
      </c>
      <c r="C61" s="181"/>
      <c r="D61" s="182">
        <v>0</v>
      </c>
      <c r="E61" s="33"/>
      <c r="F61" s="33"/>
      <c r="G61" s="33"/>
    </row>
    <row r="62" spans="1:7">
      <c r="A62" s="94" t="s">
        <v>36</v>
      </c>
      <c r="B62" s="197" t="s">
        <v>234</v>
      </c>
      <c r="C62" s="196"/>
      <c r="D62" s="196">
        <v>0</v>
      </c>
      <c r="E62" s="33"/>
      <c r="F62" s="197"/>
      <c r="G62" s="33"/>
    </row>
    <row r="63" spans="1:7">
      <c r="A63" s="180" t="s">
        <v>39</v>
      </c>
      <c r="B63" s="33" t="s">
        <v>193</v>
      </c>
      <c r="C63" s="181" t="str">
        <f>C9</f>
        <v>CCT PB 000047/2021</v>
      </c>
      <c r="D63" s="222">
        <v>15</v>
      </c>
      <c r="E63" s="33"/>
      <c r="F63" s="33"/>
      <c r="G63" s="33"/>
    </row>
    <row r="64" spans="1:7">
      <c r="A64" s="180" t="s">
        <v>41</v>
      </c>
      <c r="B64" s="199" t="s">
        <v>194</v>
      </c>
      <c r="C64" s="196" t="str">
        <f>C9</f>
        <v>CCT PB 000047/2021</v>
      </c>
      <c r="D64" s="222">
        <v>5</v>
      </c>
      <c r="E64" s="33"/>
      <c r="F64" s="33"/>
      <c r="G64" s="33"/>
    </row>
    <row r="65" spans="1:7">
      <c r="A65" s="180" t="s">
        <v>44</v>
      </c>
      <c r="B65" s="33"/>
      <c r="C65" s="33"/>
      <c r="D65" s="185">
        <f>TRUNC((SUM(D59:D64)),2)</f>
        <v>429.8</v>
      </c>
      <c r="E65" s="33"/>
      <c r="F65" s="33"/>
      <c r="G65" s="33"/>
    </row>
    <row r="66" spans="1:7">
      <c r="A66" s="180"/>
      <c r="B66" s="33"/>
      <c r="C66" s="33"/>
      <c r="D66" s="185"/>
      <c r="E66" s="33"/>
      <c r="F66" s="33"/>
      <c r="G66" s="33"/>
    </row>
    <row r="67" spans="1:7">
      <c r="A67" s="179" t="s">
        <v>91</v>
      </c>
      <c r="B67" s="179"/>
      <c r="C67" s="179"/>
      <c r="D67" s="179"/>
      <c r="E67" s="33"/>
      <c r="F67" s="33"/>
      <c r="G67" s="33"/>
    </row>
    <row r="68" spans="1:7">
      <c r="A68" s="180" t="s">
        <v>92</v>
      </c>
      <c r="B68" s="33" t="s">
        <v>93</v>
      </c>
      <c r="C68" s="180" t="s">
        <v>4</v>
      </c>
      <c r="D68" s="180" t="s">
        <v>5</v>
      </c>
      <c r="E68" s="33"/>
      <c r="F68" s="33"/>
      <c r="G68" s="33"/>
    </row>
    <row r="69" spans="1:7">
      <c r="A69" s="180" t="s">
        <v>51</v>
      </c>
      <c r="B69" s="33" t="s">
        <v>52</v>
      </c>
      <c r="C69" s="180"/>
      <c r="D69" s="185">
        <f>D39</f>
        <v>318.88</v>
      </c>
      <c r="E69" s="33"/>
      <c r="F69" s="33"/>
      <c r="G69" s="33"/>
    </row>
    <row r="70" spans="1:7">
      <c r="A70" s="180" t="s">
        <v>64</v>
      </c>
      <c r="B70" s="33" t="s">
        <v>65</v>
      </c>
      <c r="C70" s="180"/>
      <c r="D70" s="185">
        <f>D55</f>
        <v>779.6</v>
      </c>
      <c r="E70" s="33"/>
      <c r="F70" s="33"/>
      <c r="G70" s="33"/>
    </row>
    <row r="71" spans="1:7">
      <c r="A71" s="180" t="s">
        <v>82</v>
      </c>
      <c r="B71" s="33" t="s">
        <v>83</v>
      </c>
      <c r="C71" s="180"/>
      <c r="D71" s="185">
        <f>D65</f>
        <v>429.8</v>
      </c>
      <c r="E71" s="33"/>
      <c r="F71" s="33"/>
      <c r="G71" s="33"/>
    </row>
    <row r="72" spans="1:7">
      <c r="A72" s="180" t="s">
        <v>44</v>
      </c>
      <c r="B72" s="33"/>
      <c r="C72" s="180"/>
      <c r="D72" s="185">
        <f>TRUNC(SUM(D69:D71),2)</f>
        <v>1528.28</v>
      </c>
      <c r="E72" s="33"/>
      <c r="F72" s="33"/>
      <c r="G72" s="33"/>
    </row>
    <row r="73" spans="1:7">
      <c r="A73" s="33"/>
      <c r="B73" s="33"/>
      <c r="C73" s="33"/>
      <c r="D73" s="33"/>
      <c r="E73" s="33"/>
      <c r="F73" s="33"/>
      <c r="G73" s="33"/>
    </row>
    <row r="74" spans="1:7">
      <c r="A74" s="163" t="s">
        <v>94</v>
      </c>
      <c r="B74" s="163"/>
      <c r="C74" s="163"/>
      <c r="D74" s="163"/>
      <c r="E74" s="33"/>
      <c r="F74" s="33"/>
      <c r="G74" s="33"/>
    </row>
    <row r="75" spans="1:7">
      <c r="A75" s="180" t="s">
        <v>95</v>
      </c>
      <c r="B75" s="33" t="s">
        <v>96</v>
      </c>
      <c r="C75" s="180" t="s">
        <v>24</v>
      </c>
      <c r="D75" s="180" t="s">
        <v>5</v>
      </c>
      <c r="E75" s="33"/>
      <c r="F75" s="33"/>
      <c r="G75" s="33"/>
    </row>
    <row r="76" spans="1:7">
      <c r="A76" s="180" t="s">
        <v>28</v>
      </c>
      <c r="B76" s="33" t="s">
        <v>97</v>
      </c>
      <c r="C76" s="195">
        <f>((1/12)*5%)</f>
        <v>0.00416666666666667</v>
      </c>
      <c r="D76" s="196">
        <f t="shared" ref="D76:D79" si="1">TRUNC(($D$31*C76),2)</f>
        <v>6.83</v>
      </c>
      <c r="E76" s="33"/>
      <c r="F76" s="33"/>
      <c r="G76" s="33"/>
    </row>
    <row r="77" spans="1:7">
      <c r="A77" s="180" t="s">
        <v>31</v>
      </c>
      <c r="B77" s="33" t="s">
        <v>98</v>
      </c>
      <c r="C77" s="201">
        <v>0.08</v>
      </c>
      <c r="D77" s="200">
        <f>TRUNC(($D$76*C77),2)</f>
        <v>0.54</v>
      </c>
      <c r="E77" s="33"/>
      <c r="F77" s="33"/>
      <c r="G77" s="33"/>
    </row>
    <row r="78" spans="1:7">
      <c r="A78" s="180" t="s">
        <v>34</v>
      </c>
      <c r="B78" s="202" t="s">
        <v>99</v>
      </c>
      <c r="C78" s="203">
        <f>(0.08*0.4*0.05)</f>
        <v>0.0016</v>
      </c>
      <c r="D78" s="196">
        <f t="shared" si="1"/>
        <v>2.62</v>
      </c>
      <c r="E78" s="33"/>
      <c r="F78" s="33"/>
      <c r="G78" s="33"/>
    </row>
    <row r="79" spans="1:7">
      <c r="A79" s="180" t="s">
        <v>36</v>
      </c>
      <c r="B79" s="33" t="s">
        <v>100</v>
      </c>
      <c r="C79" s="204">
        <f>(((7/30)/12)*0.95)</f>
        <v>0.0184722222222222</v>
      </c>
      <c r="D79" s="205">
        <f t="shared" si="1"/>
        <v>30.29</v>
      </c>
      <c r="E79" s="33"/>
      <c r="F79" s="33"/>
      <c r="G79" s="33"/>
    </row>
    <row r="80" ht="30" spans="1:7">
      <c r="A80" s="180" t="s">
        <v>39</v>
      </c>
      <c r="B80" s="202" t="s">
        <v>195</v>
      </c>
      <c r="C80" s="203">
        <f>C55</f>
        <v>0.398</v>
      </c>
      <c r="D80" s="196">
        <f>TRUNC(($D$79*C80),2)</f>
        <v>12.05</v>
      </c>
      <c r="E80" s="33"/>
      <c r="F80" s="33"/>
      <c r="G80" s="33"/>
    </row>
    <row r="81" spans="1:7">
      <c r="A81" s="180" t="s">
        <v>41</v>
      </c>
      <c r="B81" s="202" t="s">
        <v>101</v>
      </c>
      <c r="C81" s="203">
        <f>(0.08*0.4*0.95)</f>
        <v>0.0304</v>
      </c>
      <c r="D81" s="196">
        <f>TRUNC(($D$31*C81),2)</f>
        <v>49.85</v>
      </c>
      <c r="E81" s="33"/>
      <c r="F81" s="33"/>
      <c r="G81" s="33"/>
    </row>
    <row r="82" spans="1:7">
      <c r="A82" s="180" t="s">
        <v>44</v>
      </c>
      <c r="B82" s="33"/>
      <c r="C82" s="201">
        <f>SUM(C76:C81)</f>
        <v>0.532638888888889</v>
      </c>
      <c r="D82" s="200">
        <f>TRUNC((SUM(D76:D81)),2)</f>
        <v>102.18</v>
      </c>
      <c r="E82" s="33"/>
      <c r="F82" s="33"/>
      <c r="G82" s="33"/>
    </row>
    <row r="83" ht="15.75" spans="1:7">
      <c r="A83" s="180"/>
      <c r="B83" s="33"/>
      <c r="C83" s="33"/>
      <c r="D83" s="185"/>
      <c r="E83" s="33"/>
      <c r="F83" s="33"/>
      <c r="G83" s="33"/>
    </row>
    <row r="84" ht="16.5" spans="1:7">
      <c r="A84" s="189" t="s">
        <v>196</v>
      </c>
      <c r="B84" s="189"/>
      <c r="C84" s="190" t="s">
        <v>188</v>
      </c>
      <c r="D84" s="191">
        <f>D31</f>
        <v>1640</v>
      </c>
      <c r="E84" s="33"/>
      <c r="F84" s="33"/>
      <c r="G84" s="33"/>
    </row>
    <row r="85" ht="16.5" spans="1:7">
      <c r="A85" s="189"/>
      <c r="B85" s="189"/>
      <c r="C85" s="192" t="s">
        <v>197</v>
      </c>
      <c r="D85" s="191">
        <f>D72</f>
        <v>1528.28</v>
      </c>
      <c r="E85" s="33"/>
      <c r="F85" s="33"/>
      <c r="G85" s="33"/>
    </row>
    <row r="86" ht="16.5" spans="1:7">
      <c r="A86" s="189"/>
      <c r="B86" s="189"/>
      <c r="C86" s="190" t="s">
        <v>198</v>
      </c>
      <c r="D86" s="191">
        <f>D82</f>
        <v>102.18</v>
      </c>
      <c r="E86" s="33"/>
      <c r="F86" s="33"/>
      <c r="G86" s="33"/>
    </row>
    <row r="87" ht="16.5" spans="1:7">
      <c r="A87" s="189"/>
      <c r="B87" s="189"/>
      <c r="C87" s="192" t="s">
        <v>190</v>
      </c>
      <c r="D87" s="193">
        <f>TRUNC((SUM(D84:D86)),2)</f>
        <v>3270.46</v>
      </c>
      <c r="E87" s="33"/>
      <c r="F87" s="33"/>
      <c r="G87" s="33"/>
    </row>
    <row r="88" ht="15.75" spans="1:7">
      <c r="A88" s="180"/>
      <c r="B88" s="33"/>
      <c r="C88" s="33"/>
      <c r="D88" s="185"/>
      <c r="E88" s="33"/>
      <c r="F88" s="33"/>
      <c r="G88" s="33"/>
    </row>
    <row r="89" spans="1:7">
      <c r="A89" s="206" t="s">
        <v>113</v>
      </c>
      <c r="B89" s="206"/>
      <c r="C89" s="206"/>
      <c r="D89" s="206"/>
      <c r="E89" s="33"/>
      <c r="F89" s="33"/>
      <c r="G89" s="33"/>
    </row>
    <row r="90" spans="1:7">
      <c r="A90" s="179" t="s">
        <v>114</v>
      </c>
      <c r="B90" s="179"/>
      <c r="C90" s="179"/>
      <c r="D90" s="179"/>
      <c r="E90" s="33"/>
      <c r="F90" s="33"/>
      <c r="G90" s="33"/>
    </row>
    <row r="91" spans="1:7">
      <c r="A91" s="180" t="s">
        <v>115</v>
      </c>
      <c r="B91" s="33" t="s">
        <v>116</v>
      </c>
      <c r="C91" s="180" t="s">
        <v>24</v>
      </c>
      <c r="D91" s="180" t="s">
        <v>5</v>
      </c>
      <c r="E91" s="33"/>
      <c r="F91" s="33"/>
      <c r="G91" s="33"/>
    </row>
    <row r="92" spans="1:7">
      <c r="A92" s="180" t="s">
        <v>28</v>
      </c>
      <c r="B92" s="33" t="s">
        <v>199</v>
      </c>
      <c r="C92" s="201">
        <f>(((1+1/3)/12)/12)+((1/12)/12)</f>
        <v>0.0162037037037037</v>
      </c>
      <c r="D92" s="185">
        <f t="shared" ref="D92:D96" si="2">TRUNC(($D$87*C92),2)</f>
        <v>52.99</v>
      </c>
      <c r="E92" s="33"/>
      <c r="F92" s="33"/>
      <c r="G92" s="33"/>
    </row>
    <row r="93" spans="1:7">
      <c r="A93" s="180" t="s">
        <v>31</v>
      </c>
      <c r="B93" s="33" t="s">
        <v>119</v>
      </c>
      <c r="C93" s="195">
        <f>((2/30)/12)</f>
        <v>0.00555555555555556</v>
      </c>
      <c r="D93" s="196">
        <f t="shared" si="2"/>
        <v>18.16</v>
      </c>
      <c r="E93" s="33"/>
      <c r="F93" s="33"/>
      <c r="G93" s="33"/>
    </row>
    <row r="94" spans="1:7">
      <c r="A94" s="180" t="s">
        <v>34</v>
      </c>
      <c r="B94" s="33" t="s">
        <v>120</v>
      </c>
      <c r="C94" s="195">
        <f>((5/30)/12)*0.02</f>
        <v>0.000277777777777778</v>
      </c>
      <c r="D94" s="196">
        <f t="shared" si="2"/>
        <v>0.9</v>
      </c>
      <c r="E94" s="33"/>
      <c r="F94" s="33"/>
      <c r="G94" s="33"/>
    </row>
    <row r="95" spans="1:7">
      <c r="A95" s="94" t="s">
        <v>36</v>
      </c>
      <c r="B95" s="202" t="s">
        <v>121</v>
      </c>
      <c r="C95" s="203">
        <f>((15/30)/12)*0.08</f>
        <v>0.00333333333333333</v>
      </c>
      <c r="D95" s="196">
        <f t="shared" si="2"/>
        <v>10.9</v>
      </c>
      <c r="E95" s="33"/>
      <c r="F95" s="33"/>
      <c r="G95" s="33"/>
    </row>
    <row r="96" spans="1:7">
      <c r="A96" s="180" t="s">
        <v>39</v>
      </c>
      <c r="B96" s="33" t="s">
        <v>122</v>
      </c>
      <c r="C96" s="195">
        <f>((1+1/3)/12)*0.03*((4/12))</f>
        <v>0.00111111111111111</v>
      </c>
      <c r="D96" s="196">
        <f t="shared" si="2"/>
        <v>3.63</v>
      </c>
      <c r="E96" s="33"/>
      <c r="F96" s="33"/>
      <c r="G96" s="33"/>
    </row>
    <row r="97" spans="1:7">
      <c r="A97" s="180" t="s">
        <v>41</v>
      </c>
      <c r="B97" s="202" t="s">
        <v>200</v>
      </c>
      <c r="C97" s="207">
        <v>0</v>
      </c>
      <c r="D97" s="196">
        <f>TRUNC($D$87*C97)</f>
        <v>0</v>
      </c>
      <c r="E97" s="33"/>
      <c r="F97" s="33"/>
      <c r="G97" s="33"/>
    </row>
    <row r="98" spans="1:7">
      <c r="A98" s="180" t="s">
        <v>44</v>
      </c>
      <c r="B98" s="33"/>
      <c r="C98" s="201">
        <f>SUM(C92:C97)</f>
        <v>0.0264814814814815</v>
      </c>
      <c r="D98" s="185">
        <f>TRUNC((SUM(D92:D97)),2)</f>
        <v>86.58</v>
      </c>
      <c r="E98" s="33"/>
      <c r="F98" s="33"/>
      <c r="G98" s="33"/>
    </row>
    <row r="99" spans="1:7">
      <c r="A99" s="180"/>
      <c r="B99" s="33"/>
      <c r="C99" s="180"/>
      <c r="D99" s="185"/>
      <c r="E99" s="33"/>
      <c r="F99" s="33"/>
      <c r="G99" s="33"/>
    </row>
    <row r="100" spans="1:7">
      <c r="A100" s="179" t="s">
        <v>130</v>
      </c>
      <c r="B100" s="179"/>
      <c r="C100" s="179"/>
      <c r="D100" s="179"/>
      <c r="E100" s="33"/>
      <c r="F100" s="33"/>
      <c r="G100" s="33"/>
    </row>
    <row r="101" spans="1:7">
      <c r="A101" s="180" t="s">
        <v>131</v>
      </c>
      <c r="B101" s="33" t="s">
        <v>132</v>
      </c>
      <c r="C101" s="180" t="s">
        <v>4</v>
      </c>
      <c r="D101" s="180" t="s">
        <v>5</v>
      </c>
      <c r="E101" s="33"/>
      <c r="F101" s="33"/>
      <c r="G101" s="33"/>
    </row>
    <row r="102" ht="90" spans="1:7">
      <c r="A102" s="94" t="s">
        <v>28</v>
      </c>
      <c r="B102" s="208" t="s">
        <v>133</v>
      </c>
      <c r="C102" s="209" t="s">
        <v>201</v>
      </c>
      <c r="D102" s="210" t="s">
        <v>202</v>
      </c>
      <c r="E102" s="33"/>
      <c r="F102" s="33"/>
      <c r="G102" s="33"/>
    </row>
    <row r="103" spans="1:7">
      <c r="A103" s="180" t="s">
        <v>44</v>
      </c>
      <c r="B103" s="33"/>
      <c r="C103" s="180"/>
      <c r="D103" s="211" t="str">
        <f>D102</f>
        <v>*=TRUNCAR(($D$86/220)*(1*(365/12))/2)</v>
      </c>
      <c r="E103" s="33"/>
      <c r="F103" s="33"/>
      <c r="G103" s="33"/>
    </row>
    <row r="104" spans="1:7">
      <c r="A104" s="33"/>
      <c r="B104" s="33"/>
      <c r="C104" s="33"/>
      <c r="D104" s="33"/>
      <c r="E104" s="33"/>
      <c r="F104" s="33"/>
      <c r="G104" s="33"/>
    </row>
    <row r="105" spans="1:7">
      <c r="A105" s="179" t="s">
        <v>134</v>
      </c>
      <c r="B105" s="179"/>
      <c r="C105" s="179"/>
      <c r="D105" s="179"/>
      <c r="E105" s="33"/>
      <c r="F105" s="33"/>
      <c r="G105" s="33"/>
    </row>
    <row r="106" spans="1:7">
      <c r="A106" s="180" t="s">
        <v>135</v>
      </c>
      <c r="B106" s="33" t="s">
        <v>136</v>
      </c>
      <c r="C106" s="180" t="s">
        <v>4</v>
      </c>
      <c r="D106" s="180" t="s">
        <v>5</v>
      </c>
      <c r="E106" s="33"/>
      <c r="F106" s="33"/>
      <c r="G106" s="33"/>
    </row>
    <row r="107" spans="1:7">
      <c r="A107" s="180" t="s">
        <v>115</v>
      </c>
      <c r="B107" s="33" t="s">
        <v>116</v>
      </c>
      <c r="C107" s="33"/>
      <c r="D107" s="182">
        <f>D98</f>
        <v>86.58</v>
      </c>
      <c r="E107" s="33"/>
      <c r="F107" s="33"/>
      <c r="G107" s="33"/>
    </row>
    <row r="108" spans="1:7">
      <c r="A108" s="180" t="s">
        <v>131</v>
      </c>
      <c r="B108" s="33" t="s">
        <v>137</v>
      </c>
      <c r="C108" s="33"/>
      <c r="D108" s="212" t="str">
        <f>Submódulo4.260_8120102[[#Totals],[Valor]]</f>
        <v>*=TRUNCAR(($D$86/220)*(1*(365/12))/2)</v>
      </c>
      <c r="E108" s="33"/>
      <c r="F108" s="33"/>
      <c r="G108" s="33"/>
    </row>
    <row r="109" ht="60" spans="1:7">
      <c r="A109" s="94" t="s">
        <v>44</v>
      </c>
      <c r="B109" s="197"/>
      <c r="C109" s="209" t="s">
        <v>203</v>
      </c>
      <c r="D109" s="200">
        <f>TRUNC((SUM(D107:D108)),2)</f>
        <v>86.58</v>
      </c>
      <c r="E109" s="33"/>
      <c r="F109" s="33"/>
      <c r="G109" s="33"/>
    </row>
    <row r="110" spans="1:7">
      <c r="A110" s="33"/>
      <c r="B110" s="33"/>
      <c r="C110" s="33"/>
      <c r="D110" s="33"/>
      <c r="E110" s="33"/>
      <c r="F110" s="33"/>
      <c r="G110" s="33"/>
    </row>
    <row r="111" spans="1:7">
      <c r="A111" s="163" t="s">
        <v>138</v>
      </c>
      <c r="B111" s="163"/>
      <c r="C111" s="163"/>
      <c r="D111" s="163"/>
      <c r="E111" s="33"/>
      <c r="F111" s="33"/>
      <c r="G111" s="33"/>
    </row>
    <row r="112" spans="1:7">
      <c r="A112" s="180" t="s">
        <v>139</v>
      </c>
      <c r="B112" s="33" t="s">
        <v>140</v>
      </c>
      <c r="C112" s="180" t="s">
        <v>4</v>
      </c>
      <c r="D112" s="180" t="s">
        <v>5</v>
      </c>
      <c r="E112" s="33"/>
      <c r="F112" s="33"/>
      <c r="G112" s="33"/>
    </row>
    <row r="113" spans="1:7">
      <c r="A113" s="180" t="s">
        <v>28</v>
      </c>
      <c r="B113" s="33" t="s">
        <v>204</v>
      </c>
      <c r="C113" s="33"/>
      <c r="D113" s="182">
        <f>Uniformes!G80</f>
        <v>100.5</v>
      </c>
      <c r="E113" s="33"/>
      <c r="F113" s="33"/>
      <c r="G113" s="33"/>
    </row>
    <row r="114" spans="1:7">
      <c r="A114" s="180" t="s">
        <v>31</v>
      </c>
      <c r="B114" s="33" t="s">
        <v>205</v>
      </c>
      <c r="C114" s="33"/>
      <c r="D114" s="182">
        <f>EPC!E21</f>
        <v>17.95</v>
      </c>
      <c r="E114" s="33"/>
      <c r="F114" s="33"/>
      <c r="G114" s="33"/>
    </row>
    <row r="115" spans="1:7">
      <c r="A115" s="180" t="s">
        <v>34</v>
      </c>
      <c r="B115" s="33" t="s">
        <v>142</v>
      </c>
      <c r="C115" s="33"/>
      <c r="D115" s="182">
        <f>'Materiais e Equipamentos'!E93</f>
        <v>61.2</v>
      </c>
      <c r="E115" s="33"/>
      <c r="F115" s="33"/>
      <c r="G115" s="33"/>
    </row>
    <row r="116" spans="1:7">
      <c r="A116" s="180" t="s">
        <v>36</v>
      </c>
      <c r="B116" s="33" t="s">
        <v>143</v>
      </c>
      <c r="C116" s="33"/>
      <c r="D116" s="182">
        <f>'Materiais e Equipamentos'!F124</f>
        <v>16.72</v>
      </c>
      <c r="E116" s="33"/>
      <c r="F116" s="33"/>
      <c r="G116" s="33"/>
    </row>
    <row r="117" spans="1:7">
      <c r="A117" s="180" t="s">
        <v>39</v>
      </c>
      <c r="B117" s="33" t="s">
        <v>42</v>
      </c>
      <c r="C117" s="33"/>
      <c r="D117" s="182">
        <f>H116</f>
        <v>0</v>
      </c>
      <c r="E117" s="33"/>
      <c r="F117" s="33"/>
      <c r="G117" s="33"/>
    </row>
    <row r="118" spans="1:7">
      <c r="A118" s="180" t="s">
        <v>44</v>
      </c>
      <c r="B118" s="33"/>
      <c r="C118" s="33"/>
      <c r="D118" s="185">
        <f>TRUNC(SUM((D113:D117)),2)</f>
        <v>196.37</v>
      </c>
      <c r="E118" s="33"/>
      <c r="F118" s="33"/>
      <c r="G118" s="33"/>
    </row>
    <row r="119" ht="15.75" spans="1:7">
      <c r="A119" s="33"/>
      <c r="B119" s="33"/>
      <c r="C119" s="33"/>
      <c r="D119" s="33"/>
      <c r="E119" s="33"/>
      <c r="F119" s="33"/>
      <c r="G119" s="33"/>
    </row>
    <row r="120" ht="16.5" spans="1:7">
      <c r="A120" s="189" t="s">
        <v>207</v>
      </c>
      <c r="B120" s="189"/>
      <c r="C120" s="190" t="s">
        <v>188</v>
      </c>
      <c r="D120" s="191">
        <f>D31</f>
        <v>1640</v>
      </c>
      <c r="E120" s="33"/>
      <c r="F120" s="33"/>
      <c r="G120" s="33"/>
    </row>
    <row r="121" ht="16.5" spans="1:7">
      <c r="A121" s="189"/>
      <c r="B121" s="189"/>
      <c r="C121" s="192" t="s">
        <v>197</v>
      </c>
      <c r="D121" s="191">
        <f>D72</f>
        <v>1528.28</v>
      </c>
      <c r="E121" s="33"/>
      <c r="F121" s="33"/>
      <c r="G121" s="33"/>
    </row>
    <row r="122" ht="16.5" spans="1:7">
      <c r="A122" s="189"/>
      <c r="B122" s="189"/>
      <c r="C122" s="190" t="s">
        <v>198</v>
      </c>
      <c r="D122" s="191">
        <f>D82</f>
        <v>102.18</v>
      </c>
      <c r="E122" s="33"/>
      <c r="F122" s="33"/>
      <c r="G122" s="33"/>
    </row>
    <row r="123" ht="16.5" spans="1:7">
      <c r="A123" s="189"/>
      <c r="B123" s="189"/>
      <c r="C123" s="192" t="s">
        <v>208</v>
      </c>
      <c r="D123" s="191">
        <f>D109</f>
        <v>86.58</v>
      </c>
      <c r="E123" s="33"/>
      <c r="F123" s="33"/>
      <c r="G123" s="33"/>
    </row>
    <row r="124" ht="16.5" spans="1:7">
      <c r="A124" s="189"/>
      <c r="B124" s="189"/>
      <c r="C124" s="190" t="s">
        <v>209</v>
      </c>
      <c r="D124" s="191">
        <f>D118</f>
        <v>196.37</v>
      </c>
      <c r="E124" s="33"/>
      <c r="F124" s="33"/>
      <c r="G124" s="33"/>
    </row>
    <row r="125" ht="16.5" spans="1:7">
      <c r="A125" s="189"/>
      <c r="B125" s="189"/>
      <c r="C125" s="192" t="s">
        <v>190</v>
      </c>
      <c r="D125" s="193">
        <f>TRUNC((SUM(D120:D124)),2)</f>
        <v>3553.41</v>
      </c>
      <c r="E125" s="33"/>
      <c r="F125" s="33"/>
      <c r="G125" s="33"/>
    </row>
    <row r="126" ht="15.75" spans="1:7">
      <c r="A126" s="33"/>
      <c r="B126" s="33"/>
      <c r="C126" s="33"/>
      <c r="D126" s="33"/>
      <c r="E126" s="33"/>
      <c r="F126" s="33"/>
      <c r="G126" s="33"/>
    </row>
    <row r="127" spans="1:7">
      <c r="A127" s="163" t="s">
        <v>150</v>
      </c>
      <c r="B127" s="163"/>
      <c r="C127" s="163"/>
      <c r="D127" s="163"/>
      <c r="E127" s="33"/>
      <c r="F127" s="33"/>
      <c r="G127" s="33"/>
    </row>
    <row r="128" spans="1:7">
      <c r="A128" s="180" t="s">
        <v>151</v>
      </c>
      <c r="B128" s="33" t="s">
        <v>152</v>
      </c>
      <c r="C128" s="180" t="s">
        <v>24</v>
      </c>
      <c r="D128" s="180" t="s">
        <v>5</v>
      </c>
      <c r="E128" s="33"/>
      <c r="F128" s="213" t="s">
        <v>210</v>
      </c>
      <c r="G128" s="213"/>
    </row>
    <row r="129" ht="15.75" spans="1:7">
      <c r="A129" s="180" t="s">
        <v>28</v>
      </c>
      <c r="B129" s="33" t="s">
        <v>153</v>
      </c>
      <c r="C129" s="195">
        <v>0.044</v>
      </c>
      <c r="D129" s="182">
        <f>TRUNC(($D$125*C129),2)</f>
        <v>156.35</v>
      </c>
      <c r="E129" s="33"/>
      <c r="F129" s="214" t="s">
        <v>211</v>
      </c>
      <c r="G129" s="203">
        <f>C131</f>
        <v>0.0865</v>
      </c>
    </row>
    <row r="130" ht="15.75" spans="1:7">
      <c r="A130" s="180" t="s">
        <v>31</v>
      </c>
      <c r="B130" s="33" t="s">
        <v>45</v>
      </c>
      <c r="C130" s="195">
        <v>0.0413</v>
      </c>
      <c r="D130" s="182">
        <f>TRUNC((C130*(D125+D129)),2)</f>
        <v>153.21</v>
      </c>
      <c r="E130" s="33"/>
      <c r="F130" s="215" t="s">
        <v>212</v>
      </c>
      <c r="G130" s="216">
        <f>TRUNC(SUM(D125,D129,D130),2)</f>
        <v>3862.97</v>
      </c>
    </row>
    <row r="131" spans="1:7">
      <c r="A131" s="180" t="s">
        <v>34</v>
      </c>
      <c r="B131" s="33" t="s">
        <v>154</v>
      </c>
      <c r="C131" s="195">
        <f>SUM(C132:C134)</f>
        <v>0.0865</v>
      </c>
      <c r="D131" s="182">
        <f>TRUNC((SUM(D132:D134)),2)</f>
        <v>365.77</v>
      </c>
      <c r="E131" s="33"/>
      <c r="F131" s="214" t="s">
        <v>213</v>
      </c>
      <c r="G131" s="217">
        <f>(100-8.65)/100</f>
        <v>0.9135</v>
      </c>
    </row>
    <row r="132" ht="15.75" spans="1:7">
      <c r="A132" s="180"/>
      <c r="B132" s="33" t="s">
        <v>214</v>
      </c>
      <c r="C132" s="195">
        <v>0.0065</v>
      </c>
      <c r="D132" s="182">
        <f t="shared" ref="D132:D134" si="3">TRUNC(($G$132*C132),2)</f>
        <v>27.48</v>
      </c>
      <c r="E132" s="33"/>
      <c r="F132" s="215" t="s">
        <v>210</v>
      </c>
      <c r="G132" s="216">
        <f>TRUNC((G130/G131),2)</f>
        <v>4228.75</v>
      </c>
    </row>
    <row r="133" ht="15.75" spans="1:7">
      <c r="A133" s="180"/>
      <c r="B133" s="33" t="s">
        <v>215</v>
      </c>
      <c r="C133" s="195">
        <v>0.03</v>
      </c>
      <c r="D133" s="182">
        <f t="shared" si="3"/>
        <v>126.86</v>
      </c>
      <c r="E133" s="33"/>
      <c r="F133" s="33"/>
      <c r="G133" s="33"/>
    </row>
    <row r="134" spans="1:7">
      <c r="A134" s="180"/>
      <c r="B134" s="33" t="s">
        <v>216</v>
      </c>
      <c r="C134" s="195">
        <v>0.05</v>
      </c>
      <c r="D134" s="182">
        <f t="shared" si="3"/>
        <v>211.43</v>
      </c>
      <c r="E134" s="33"/>
      <c r="F134" s="33"/>
      <c r="G134" s="33"/>
    </row>
    <row r="135" spans="1:7">
      <c r="A135" s="180" t="s">
        <v>44</v>
      </c>
      <c r="B135" s="33"/>
      <c r="C135" s="180"/>
      <c r="D135" s="185">
        <f>TRUNC(SUM(D129:D131),2)</f>
        <v>675.33</v>
      </c>
      <c r="E135" s="33"/>
      <c r="F135" s="33"/>
      <c r="G135" s="33"/>
    </row>
    <row r="136" spans="1:7">
      <c r="A136" s="180"/>
      <c r="B136" s="33"/>
      <c r="C136" s="180"/>
      <c r="D136" s="185"/>
      <c r="E136" s="33"/>
      <c r="F136" s="33"/>
      <c r="G136" s="33"/>
    </row>
    <row r="137" spans="1:7">
      <c r="A137" s="33"/>
      <c r="B137" s="33"/>
      <c r="C137" s="33"/>
      <c r="D137" s="33"/>
      <c r="E137" s="33"/>
      <c r="F137" s="33"/>
      <c r="G137" s="33"/>
    </row>
    <row r="138" spans="1:7">
      <c r="A138" s="163" t="s">
        <v>158</v>
      </c>
      <c r="B138" s="163"/>
      <c r="C138" s="163"/>
      <c r="D138" s="163"/>
      <c r="E138" s="33"/>
      <c r="F138" s="33"/>
      <c r="G138" s="33"/>
    </row>
    <row r="139" spans="1:7">
      <c r="A139" s="180" t="s">
        <v>2</v>
      </c>
      <c r="B139" s="180" t="s">
        <v>159</v>
      </c>
      <c r="C139" s="180" t="s">
        <v>88</v>
      </c>
      <c r="D139" s="180" t="s">
        <v>5</v>
      </c>
      <c r="E139" s="33"/>
      <c r="F139" s="33"/>
      <c r="G139" s="33"/>
    </row>
    <row r="140" spans="1:7">
      <c r="A140" s="180" t="s">
        <v>28</v>
      </c>
      <c r="B140" s="33" t="s">
        <v>22</v>
      </c>
      <c r="C140" s="33"/>
      <c r="D140" s="185">
        <f>D31</f>
        <v>1640</v>
      </c>
      <c r="E140" s="33"/>
      <c r="F140" s="33"/>
      <c r="G140" s="33"/>
    </row>
    <row r="141" spans="1:7">
      <c r="A141" s="180" t="s">
        <v>31</v>
      </c>
      <c r="B141" s="33" t="s">
        <v>47</v>
      </c>
      <c r="C141" s="33"/>
      <c r="D141" s="185">
        <f>D72</f>
        <v>1528.28</v>
      </c>
      <c r="E141" s="33"/>
      <c r="F141" s="33"/>
      <c r="G141" s="33"/>
    </row>
    <row r="142" spans="1:7">
      <c r="A142" s="180" t="s">
        <v>34</v>
      </c>
      <c r="B142" s="33" t="s">
        <v>94</v>
      </c>
      <c r="C142" s="33"/>
      <c r="D142" s="185">
        <f>D82</f>
        <v>102.18</v>
      </c>
      <c r="E142" s="33"/>
      <c r="F142" s="33"/>
      <c r="G142" s="33"/>
    </row>
    <row r="143" spans="1:7">
      <c r="A143" s="180" t="s">
        <v>36</v>
      </c>
      <c r="B143" s="33" t="s">
        <v>160</v>
      </c>
      <c r="C143" s="33"/>
      <c r="D143" s="185">
        <f>D109</f>
        <v>86.58</v>
      </c>
      <c r="E143" s="33"/>
      <c r="F143" s="33"/>
      <c r="G143" s="33"/>
    </row>
    <row r="144" spans="1:7">
      <c r="A144" s="180" t="s">
        <v>39</v>
      </c>
      <c r="B144" s="33" t="s">
        <v>138</v>
      </c>
      <c r="C144" s="33"/>
      <c r="D144" s="185">
        <f>D118</f>
        <v>196.37</v>
      </c>
      <c r="E144" s="33"/>
      <c r="F144" s="33"/>
      <c r="G144" s="33"/>
    </row>
    <row r="145" spans="1:7">
      <c r="A145" s="33"/>
      <c r="B145" s="218" t="s">
        <v>161</v>
      </c>
      <c r="C145" s="33"/>
      <c r="D145" s="185">
        <f>TRUNC(SUM(D140:D144),2)</f>
        <v>3553.41</v>
      </c>
      <c r="E145" s="33"/>
      <c r="F145" s="33"/>
      <c r="G145" s="33"/>
    </row>
    <row r="146" spans="1:7">
      <c r="A146" s="180" t="s">
        <v>41</v>
      </c>
      <c r="B146" s="33" t="s">
        <v>150</v>
      </c>
      <c r="C146" s="33"/>
      <c r="D146" s="185">
        <f>D135</f>
        <v>675.33</v>
      </c>
      <c r="E146" s="33"/>
      <c r="F146" s="33"/>
      <c r="G146" s="33"/>
    </row>
    <row r="147" spans="1:7">
      <c r="A147" s="219"/>
      <c r="B147" s="220" t="s">
        <v>217</v>
      </c>
      <c r="C147" s="219"/>
      <c r="D147" s="221">
        <f>TRUNC((SUM(D140:D144)+D146),2)</f>
        <v>4228.74</v>
      </c>
      <c r="E147" s="33"/>
      <c r="F147" s="33"/>
      <c r="G147" s="33"/>
    </row>
  </sheetData>
  <mergeCells count="33">
    <mergeCell ref="A2:D2"/>
    <mergeCell ref="A3:D3"/>
    <mergeCell ref="A6:D6"/>
    <mergeCell ref="C7:D7"/>
    <mergeCell ref="C8:D8"/>
    <mergeCell ref="C9:D9"/>
    <mergeCell ref="C10:D10"/>
    <mergeCell ref="A11:D11"/>
    <mergeCell ref="A12:B12"/>
    <mergeCell ref="A13:B13"/>
    <mergeCell ref="A14:B14"/>
    <mergeCell ref="A15:D15"/>
    <mergeCell ref="F15:G15"/>
    <mergeCell ref="F22:G22"/>
    <mergeCell ref="A23:D23"/>
    <mergeCell ref="F31:G31"/>
    <mergeCell ref="A33:D33"/>
    <mergeCell ref="A35:D35"/>
    <mergeCell ref="A45:D45"/>
    <mergeCell ref="A57:D57"/>
    <mergeCell ref="A67:D67"/>
    <mergeCell ref="A74:D74"/>
    <mergeCell ref="A89:D89"/>
    <mergeCell ref="A90:D90"/>
    <mergeCell ref="A100:D100"/>
    <mergeCell ref="A105:D105"/>
    <mergeCell ref="A111:D111"/>
    <mergeCell ref="A127:D127"/>
    <mergeCell ref="F128:G128"/>
    <mergeCell ref="A138:D138"/>
    <mergeCell ref="A41:B43"/>
    <mergeCell ref="A84:B87"/>
    <mergeCell ref="A120:B125"/>
  </mergeCells>
  <pageMargins left="0.75" right="0.75" top="1" bottom="1" header="0.5" footer="0.5"/>
  <pageSetup paperSize="9" orientation="landscape"/>
  <headerFooter/>
  <tableParts count="13">
    <tablePart r:id="rId1"/>
    <tablePart r:id="rId2"/>
    <tablePart r:id="rId3"/>
    <tablePart r:id="rId4"/>
    <tablePart r:id="rId5"/>
    <tablePart r:id="rId6"/>
    <tablePart r:id="rId7"/>
    <tablePart r:id="rId8"/>
    <tablePart r:id="rId9"/>
    <tablePart r:id="rId10"/>
    <tablePart r:id="rId11"/>
    <tablePart r:id="rId12"/>
    <tablePart r:id="rId13"/>
  </tablePar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147"/>
  <sheetViews>
    <sheetView workbookViewId="0">
      <selection activeCell="D147" sqref="A2:D147"/>
    </sheetView>
  </sheetViews>
  <sheetFormatPr defaultColWidth="9.14285714285714" defaultRowHeight="15" outlineLevelCol="6"/>
  <cols>
    <col min="1" max="1" width="10.5714285714286" customWidth="1"/>
    <col min="2" max="2" width="55.7142857142857" customWidth="1"/>
    <col min="3" max="3" width="32" customWidth="1"/>
    <col min="4" max="4" width="34.4285714285714" customWidth="1"/>
    <col min="6" max="6" width="21.4285714285714" customWidth="1"/>
    <col min="7" max="7" width="16.4285714285714" customWidth="1"/>
  </cols>
  <sheetData>
    <row r="1" spans="1:7">
      <c r="A1" s="33"/>
      <c r="B1" s="33"/>
      <c r="C1" s="33"/>
      <c r="D1" s="33"/>
      <c r="E1" s="33"/>
      <c r="F1" s="33"/>
      <c r="G1" s="33"/>
    </row>
    <row r="2" ht="19.5" spans="1:7">
      <c r="A2" s="156" t="s">
        <v>163</v>
      </c>
      <c r="B2" s="156"/>
      <c r="C2" s="156"/>
      <c r="D2" s="156"/>
      <c r="E2" s="33"/>
      <c r="F2" s="33"/>
      <c r="G2" s="33"/>
    </row>
    <row r="3" ht="15.75" spans="1:7">
      <c r="A3" s="157" t="s">
        <v>228</v>
      </c>
      <c r="B3" s="157"/>
      <c r="C3" s="157"/>
      <c r="D3" s="157"/>
      <c r="E3" s="33"/>
      <c r="F3" s="33"/>
      <c r="G3" s="33"/>
    </row>
    <row r="4" spans="1:7">
      <c r="A4" s="158" t="s">
        <v>165</v>
      </c>
      <c r="B4" s="159" t="s">
        <v>166</v>
      </c>
      <c r="C4" s="160"/>
      <c r="D4" s="160"/>
      <c r="E4" s="33"/>
      <c r="F4" s="33"/>
      <c r="G4" s="33"/>
    </row>
    <row r="5" spans="1:7">
      <c r="A5" s="161"/>
      <c r="B5" s="162"/>
      <c r="C5" s="162"/>
      <c r="D5" s="162"/>
      <c r="E5" s="33"/>
      <c r="F5" s="33"/>
      <c r="G5" s="33"/>
    </row>
    <row r="6" ht="15.75" spans="1:7">
      <c r="A6" s="163" t="s">
        <v>167</v>
      </c>
      <c r="B6" s="163"/>
      <c r="C6" s="163"/>
      <c r="D6" s="163"/>
      <c r="E6" s="33"/>
      <c r="F6" s="33"/>
      <c r="G6" s="33"/>
    </row>
    <row r="7" ht="15.75" spans="1:7">
      <c r="A7" s="164" t="s">
        <v>28</v>
      </c>
      <c r="B7" s="165" t="s">
        <v>168</v>
      </c>
      <c r="C7" s="166" t="s">
        <v>169</v>
      </c>
      <c r="D7" s="166"/>
      <c r="E7" s="33"/>
      <c r="F7" s="33"/>
      <c r="G7" s="33"/>
    </row>
    <row r="8" spans="1:7">
      <c r="A8" s="167" t="s">
        <v>31</v>
      </c>
      <c r="B8" s="168" t="s">
        <v>170</v>
      </c>
      <c r="C8" s="169" t="s">
        <v>171</v>
      </c>
      <c r="D8" s="169"/>
      <c r="E8" s="33"/>
      <c r="F8" s="33"/>
      <c r="G8" s="33"/>
    </row>
    <row r="9" spans="1:7">
      <c r="A9" s="170" t="s">
        <v>34</v>
      </c>
      <c r="B9" s="171" t="s">
        <v>172</v>
      </c>
      <c r="C9" s="169" t="s">
        <v>229</v>
      </c>
      <c r="D9" s="169"/>
      <c r="E9" s="33"/>
      <c r="F9" s="33"/>
      <c r="G9" s="33"/>
    </row>
    <row r="10" spans="1:7">
      <c r="A10" s="167" t="s">
        <v>39</v>
      </c>
      <c r="B10" s="168" t="s">
        <v>174</v>
      </c>
      <c r="C10" s="169" t="s">
        <v>175</v>
      </c>
      <c r="D10" s="169"/>
      <c r="E10" s="33"/>
      <c r="F10" s="33"/>
      <c r="G10" s="33"/>
    </row>
    <row r="11" ht="15.75" spans="1:7">
      <c r="A11" s="172" t="s">
        <v>176</v>
      </c>
      <c r="B11" s="172"/>
      <c r="C11" s="172"/>
      <c r="D11" s="172"/>
      <c r="E11" s="33"/>
      <c r="F11" s="33"/>
      <c r="G11" s="33"/>
    </row>
    <row r="12" ht="16.5" spans="1:7">
      <c r="A12" s="173" t="s">
        <v>177</v>
      </c>
      <c r="B12" s="173"/>
      <c r="C12" s="172" t="s">
        <v>178</v>
      </c>
      <c r="D12" s="174" t="s">
        <v>179</v>
      </c>
      <c r="E12" s="33"/>
      <c r="F12" s="33"/>
      <c r="G12" s="33"/>
    </row>
    <row r="13" ht="15.75" spans="1:7">
      <c r="A13" s="175" t="s">
        <v>238</v>
      </c>
      <c r="B13" s="175"/>
      <c r="C13" s="169" t="s">
        <v>181</v>
      </c>
      <c r="D13" s="176">
        <f>RESUMO!D8</f>
        <v>1</v>
      </c>
      <c r="E13" s="33"/>
      <c r="F13" s="33"/>
      <c r="G13" s="33"/>
    </row>
    <row r="14" spans="1:7">
      <c r="A14" s="177"/>
      <c r="B14" s="177"/>
      <c r="C14" s="169"/>
      <c r="D14" s="178"/>
      <c r="E14" s="33"/>
      <c r="F14" s="33"/>
      <c r="G14" s="33"/>
    </row>
    <row r="15" ht="15.75" spans="1:7">
      <c r="A15" s="172" t="s">
        <v>0</v>
      </c>
      <c r="B15" s="172"/>
      <c r="C15" s="172"/>
      <c r="D15" s="172"/>
      <c r="E15" s="33"/>
      <c r="F15" s="179"/>
      <c r="G15" s="179"/>
    </row>
    <row r="16" ht="15.75" spans="1:7">
      <c r="A16" s="180" t="s">
        <v>2</v>
      </c>
      <c r="B16" s="33" t="s">
        <v>3</v>
      </c>
      <c r="C16" s="180" t="s">
        <v>4</v>
      </c>
      <c r="D16" s="180" t="s">
        <v>5</v>
      </c>
      <c r="E16" s="33"/>
      <c r="F16" s="33"/>
      <c r="G16" s="33"/>
    </row>
    <row r="17" spans="1:7">
      <c r="A17" s="180">
        <v>1</v>
      </c>
      <c r="B17" s="33" t="s">
        <v>6</v>
      </c>
      <c r="C17" s="181" t="s">
        <v>88</v>
      </c>
      <c r="D17" s="181" t="str">
        <f>A13</f>
        <v>Pintor</v>
      </c>
      <c r="E17" s="33"/>
      <c r="F17" s="33"/>
      <c r="G17" s="33"/>
    </row>
    <row r="18" spans="1:7">
      <c r="A18" s="180">
        <v>2</v>
      </c>
      <c r="B18" s="33" t="s">
        <v>9</v>
      </c>
      <c r="C18" s="181" t="s">
        <v>182</v>
      </c>
      <c r="D18" s="181" t="s">
        <v>239</v>
      </c>
      <c r="E18" s="33"/>
      <c r="F18" s="33"/>
      <c r="G18" s="33"/>
    </row>
    <row r="19" spans="1:7">
      <c r="A19" s="180">
        <v>3</v>
      </c>
      <c r="B19" s="33" t="s">
        <v>12</v>
      </c>
      <c r="C19" s="181" t="str">
        <f>C9</f>
        <v>CCT PB 000047/2021</v>
      </c>
      <c r="D19" s="182">
        <v>1528</v>
      </c>
      <c r="E19" s="33"/>
      <c r="F19" s="33"/>
      <c r="G19" s="33"/>
    </row>
    <row r="20" spans="1:7">
      <c r="A20" s="180">
        <v>4</v>
      </c>
      <c r="B20" s="33" t="s">
        <v>15</v>
      </c>
      <c r="C20" s="181" t="str">
        <f>C9</f>
        <v>CCT PB 000047/2021</v>
      </c>
      <c r="D20" s="181" t="s">
        <v>184</v>
      </c>
      <c r="E20" s="33"/>
      <c r="F20" s="33"/>
      <c r="G20" s="33"/>
    </row>
    <row r="21" spans="1:7">
      <c r="A21" s="180">
        <v>5</v>
      </c>
      <c r="B21" s="33" t="s">
        <v>19</v>
      </c>
      <c r="C21" s="181" t="str">
        <f>C9</f>
        <v>CCT PB 000047/2021</v>
      </c>
      <c r="D21" s="183" t="s">
        <v>185</v>
      </c>
      <c r="E21" s="33"/>
      <c r="F21" s="33"/>
      <c r="G21" s="33"/>
    </row>
    <row r="22" spans="1:7">
      <c r="A22" s="33"/>
      <c r="B22" s="33"/>
      <c r="C22" s="33"/>
      <c r="D22" s="33"/>
      <c r="E22" s="33"/>
      <c r="F22" s="179"/>
      <c r="G22" s="179"/>
    </row>
    <row r="23" spans="1:7">
      <c r="A23" s="163" t="s">
        <v>22</v>
      </c>
      <c r="B23" s="163"/>
      <c r="C23" s="163"/>
      <c r="D23" s="163"/>
      <c r="E23" s="33"/>
      <c r="F23" s="33"/>
      <c r="G23" s="33"/>
    </row>
    <row r="24" spans="1:7">
      <c r="A24" s="180" t="s">
        <v>25</v>
      </c>
      <c r="B24" s="33" t="s">
        <v>26</v>
      </c>
      <c r="C24" s="180" t="s">
        <v>4</v>
      </c>
      <c r="D24" s="180" t="s">
        <v>5</v>
      </c>
      <c r="E24" s="33"/>
      <c r="F24" s="33"/>
      <c r="G24" s="184"/>
    </row>
    <row r="25" spans="1:7">
      <c r="A25" s="180" t="s">
        <v>28</v>
      </c>
      <c r="B25" s="33" t="s">
        <v>29</v>
      </c>
      <c r="C25" s="181" t="s">
        <v>232</v>
      </c>
      <c r="D25" s="182">
        <f>D19</f>
        <v>1528</v>
      </c>
      <c r="E25" s="33"/>
      <c r="F25" s="33"/>
      <c r="G25" s="184"/>
    </row>
    <row r="26" spans="1:7">
      <c r="A26" s="180" t="s">
        <v>31</v>
      </c>
      <c r="B26" s="33" t="s">
        <v>32</v>
      </c>
      <c r="C26" s="181"/>
      <c r="D26" s="182">
        <v>0</v>
      </c>
      <c r="E26" s="33"/>
      <c r="F26" s="33"/>
      <c r="G26" s="184"/>
    </row>
    <row r="27" spans="1:7">
      <c r="A27" s="180" t="s">
        <v>34</v>
      </c>
      <c r="B27" s="33" t="s">
        <v>35</v>
      </c>
      <c r="C27" s="181"/>
      <c r="D27" s="182">
        <v>0</v>
      </c>
      <c r="E27" s="33"/>
      <c r="F27" s="33"/>
      <c r="G27" s="33"/>
    </row>
    <row r="28" spans="1:7">
      <c r="A28" s="180" t="s">
        <v>36</v>
      </c>
      <c r="B28" s="33" t="s">
        <v>37</v>
      </c>
      <c r="C28" s="181"/>
      <c r="D28" s="182">
        <v>0</v>
      </c>
      <c r="E28" s="33"/>
      <c r="F28" s="33"/>
      <c r="G28" s="33"/>
    </row>
    <row r="29" spans="1:7">
      <c r="A29" s="180" t="s">
        <v>39</v>
      </c>
      <c r="B29" s="33" t="s">
        <v>40</v>
      </c>
      <c r="C29" s="181"/>
      <c r="D29" s="182">
        <v>0</v>
      </c>
      <c r="E29" s="33"/>
      <c r="F29" s="33"/>
      <c r="G29" s="33"/>
    </row>
    <row r="30" spans="1:7">
      <c r="A30" s="180" t="s">
        <v>41</v>
      </c>
      <c r="B30" s="33" t="s">
        <v>42</v>
      </c>
      <c r="C30" s="181"/>
      <c r="D30" s="182">
        <v>0</v>
      </c>
      <c r="E30" s="33"/>
      <c r="F30" s="33"/>
      <c r="G30" s="33"/>
    </row>
    <row r="31" spans="1:7">
      <c r="A31" s="180" t="s">
        <v>44</v>
      </c>
      <c r="B31" s="33"/>
      <c r="C31" s="180"/>
      <c r="D31" s="185">
        <f>TRUNC(SUM(D25:D30),2)</f>
        <v>1528</v>
      </c>
      <c r="E31" s="33"/>
      <c r="F31" s="179"/>
      <c r="G31" s="179"/>
    </row>
    <row r="32" spans="1:7">
      <c r="A32" s="33"/>
      <c r="B32" s="33"/>
      <c r="C32" s="33"/>
      <c r="D32" s="33"/>
      <c r="E32" s="33"/>
      <c r="F32" s="33"/>
      <c r="G32" s="33"/>
    </row>
    <row r="33" spans="1:7">
      <c r="A33" s="186" t="s">
        <v>47</v>
      </c>
      <c r="B33" s="186"/>
      <c r="C33" s="186"/>
      <c r="D33" s="186"/>
      <c r="E33" s="33"/>
      <c r="F33" s="33"/>
      <c r="G33" s="184"/>
    </row>
    <row r="34" spans="1:7">
      <c r="A34" s="33"/>
      <c r="B34" s="33"/>
      <c r="C34" s="33"/>
      <c r="D34" s="33"/>
      <c r="E34" s="33"/>
      <c r="F34" s="33"/>
      <c r="G34" s="33"/>
    </row>
    <row r="35" spans="1:7">
      <c r="A35" s="179" t="s">
        <v>49</v>
      </c>
      <c r="B35" s="179"/>
      <c r="C35" s="179"/>
      <c r="D35" s="179"/>
      <c r="E35" s="33"/>
      <c r="F35" s="33"/>
      <c r="G35" s="33"/>
    </row>
    <row r="36" spans="1:7">
      <c r="A36" s="180" t="s">
        <v>51</v>
      </c>
      <c r="B36" s="33" t="s">
        <v>52</v>
      </c>
      <c r="C36" s="180" t="s">
        <v>24</v>
      </c>
      <c r="D36" s="180" t="s">
        <v>5</v>
      </c>
      <c r="E36" s="33"/>
      <c r="F36" s="33"/>
      <c r="G36" s="33"/>
    </row>
    <row r="37" spans="1:7">
      <c r="A37" s="180" t="s">
        <v>28</v>
      </c>
      <c r="B37" s="33" t="s">
        <v>53</v>
      </c>
      <c r="C37" s="187">
        <f>(1/12)</f>
        <v>0.0833333333333333</v>
      </c>
      <c r="D37" s="185">
        <f>TRUNC($D$31*C37,2)</f>
        <v>127.33</v>
      </c>
      <c r="E37" s="33"/>
      <c r="F37" s="188"/>
      <c r="G37" s="188"/>
    </row>
    <row r="38" spans="1:7">
      <c r="A38" s="180" t="s">
        <v>31</v>
      </c>
      <c r="B38" s="33" t="s">
        <v>54</v>
      </c>
      <c r="C38" s="187">
        <f>(((1+1/3)/12))</f>
        <v>0.111111111111111</v>
      </c>
      <c r="D38" s="185">
        <f>TRUNC($D$31*C38,2)</f>
        <v>169.77</v>
      </c>
      <c r="E38" s="33"/>
      <c r="F38" s="188"/>
      <c r="G38" s="188"/>
    </row>
    <row r="39" spans="1:7">
      <c r="A39" s="180" t="s">
        <v>44</v>
      </c>
      <c r="B39" s="33"/>
      <c r="C39" s="33"/>
      <c r="D39" s="185">
        <f>TRUNC((SUM(D37:D38)),2)</f>
        <v>297.1</v>
      </c>
      <c r="E39" s="33"/>
      <c r="F39" s="188"/>
      <c r="G39" s="188"/>
    </row>
    <row r="40" ht="15.75" spans="1:7">
      <c r="A40" s="33"/>
      <c r="B40" s="33"/>
      <c r="C40" s="33"/>
      <c r="D40" s="185"/>
      <c r="E40" s="33"/>
      <c r="F40" s="188"/>
      <c r="G40" s="188"/>
    </row>
    <row r="41" ht="16.5" spans="1:7">
      <c r="A41" s="189" t="s">
        <v>187</v>
      </c>
      <c r="B41" s="189"/>
      <c r="C41" s="190" t="s">
        <v>188</v>
      </c>
      <c r="D41" s="191">
        <f>D31</f>
        <v>1528</v>
      </c>
      <c r="E41" s="33"/>
      <c r="F41" s="188"/>
      <c r="G41" s="188"/>
    </row>
    <row r="42" ht="16.5" spans="1:7">
      <c r="A42" s="189"/>
      <c r="B42" s="189"/>
      <c r="C42" s="192" t="s">
        <v>189</v>
      </c>
      <c r="D42" s="191">
        <f>D39</f>
        <v>297.1</v>
      </c>
      <c r="E42" s="33"/>
      <c r="F42" s="188"/>
      <c r="G42" s="188"/>
    </row>
    <row r="43" ht="16.5" spans="1:7">
      <c r="A43" s="189"/>
      <c r="B43" s="189"/>
      <c r="C43" s="190" t="s">
        <v>190</v>
      </c>
      <c r="D43" s="193">
        <f>TRUNC((SUM(D41:D42)),2)</f>
        <v>1825.1</v>
      </c>
      <c r="E43" s="33"/>
      <c r="F43" s="188"/>
      <c r="G43" s="188"/>
    </row>
    <row r="44" ht="15.75" spans="1:7">
      <c r="A44" s="180"/>
      <c r="B44" s="33"/>
      <c r="C44" s="194"/>
      <c r="D44" s="185"/>
      <c r="E44" s="33"/>
      <c r="F44" s="188"/>
      <c r="G44" s="188"/>
    </row>
    <row r="45" spans="1:7">
      <c r="A45" s="179" t="s">
        <v>63</v>
      </c>
      <c r="B45" s="179"/>
      <c r="C45" s="179"/>
      <c r="D45" s="179"/>
      <c r="E45" s="33"/>
      <c r="F45" s="33"/>
      <c r="G45" s="33"/>
    </row>
    <row r="46" spans="1:7">
      <c r="A46" s="180" t="s">
        <v>64</v>
      </c>
      <c r="B46" s="33" t="s">
        <v>65</v>
      </c>
      <c r="C46" s="180" t="s">
        <v>24</v>
      </c>
      <c r="D46" s="180" t="s">
        <v>66</v>
      </c>
      <c r="E46" s="33"/>
      <c r="F46" s="33"/>
      <c r="G46" s="33"/>
    </row>
    <row r="47" spans="1:7">
      <c r="A47" s="180" t="s">
        <v>28</v>
      </c>
      <c r="B47" s="33" t="s">
        <v>67</v>
      </c>
      <c r="C47" s="187">
        <v>0.2</v>
      </c>
      <c r="D47" s="185">
        <f t="shared" ref="D47:D54" si="0">TRUNC(($D$43*C47),2)</f>
        <v>365.02</v>
      </c>
      <c r="E47" s="33"/>
      <c r="F47" s="33"/>
      <c r="G47" s="33"/>
    </row>
    <row r="48" spans="1:7">
      <c r="A48" s="180" t="s">
        <v>31</v>
      </c>
      <c r="B48" s="33" t="s">
        <v>68</v>
      </c>
      <c r="C48" s="187">
        <v>0.025</v>
      </c>
      <c r="D48" s="185">
        <f t="shared" si="0"/>
        <v>45.62</v>
      </c>
      <c r="E48" s="33"/>
      <c r="F48" s="33"/>
      <c r="G48" s="33"/>
    </row>
    <row r="49" spans="1:7">
      <c r="A49" s="180" t="s">
        <v>34</v>
      </c>
      <c r="B49" s="33" t="s">
        <v>191</v>
      </c>
      <c r="C49" s="195">
        <v>0.06</v>
      </c>
      <c r="D49" s="182">
        <f t="shared" si="0"/>
        <v>109.5</v>
      </c>
      <c r="E49" s="33"/>
      <c r="F49" s="33"/>
      <c r="G49" s="33"/>
    </row>
    <row r="50" spans="1:7">
      <c r="A50" s="180" t="s">
        <v>36</v>
      </c>
      <c r="B50" s="33" t="s">
        <v>70</v>
      </c>
      <c r="C50" s="187">
        <v>0.015</v>
      </c>
      <c r="D50" s="185">
        <f t="shared" si="0"/>
        <v>27.37</v>
      </c>
      <c r="E50" s="33"/>
      <c r="F50" s="33"/>
      <c r="G50" s="33"/>
    </row>
    <row r="51" spans="1:7">
      <c r="A51" s="180" t="s">
        <v>39</v>
      </c>
      <c r="B51" s="33" t="s">
        <v>71</v>
      </c>
      <c r="C51" s="187">
        <v>0.01</v>
      </c>
      <c r="D51" s="185">
        <f t="shared" si="0"/>
        <v>18.25</v>
      </c>
      <c r="E51" s="33"/>
      <c r="F51" s="33"/>
      <c r="G51" s="33"/>
    </row>
    <row r="52" spans="1:7">
      <c r="A52" s="180" t="s">
        <v>41</v>
      </c>
      <c r="B52" s="33" t="s">
        <v>72</v>
      </c>
      <c r="C52" s="187">
        <v>0.006</v>
      </c>
      <c r="D52" s="185">
        <f t="shared" si="0"/>
        <v>10.95</v>
      </c>
      <c r="E52" s="33"/>
      <c r="F52" s="33"/>
      <c r="G52" s="33"/>
    </row>
    <row r="53" spans="1:7">
      <c r="A53" s="180" t="s">
        <v>73</v>
      </c>
      <c r="B53" s="33" t="s">
        <v>74</v>
      </c>
      <c r="C53" s="187">
        <v>0.002</v>
      </c>
      <c r="D53" s="185">
        <f t="shared" si="0"/>
        <v>3.65</v>
      </c>
      <c r="E53" s="33"/>
      <c r="F53" s="33"/>
      <c r="G53" s="33"/>
    </row>
    <row r="54" spans="1:7">
      <c r="A54" s="180" t="s">
        <v>75</v>
      </c>
      <c r="B54" s="33" t="s">
        <v>76</v>
      </c>
      <c r="C54" s="187">
        <v>0.08</v>
      </c>
      <c r="D54" s="185">
        <f t="shared" si="0"/>
        <v>146</v>
      </c>
      <c r="E54" s="33"/>
      <c r="F54" s="33"/>
      <c r="G54" s="33"/>
    </row>
    <row r="55" spans="1:7">
      <c r="A55" s="180" t="s">
        <v>44</v>
      </c>
      <c r="B55" s="33"/>
      <c r="C55" s="194">
        <f>SUM(C47:C54)</f>
        <v>0.398</v>
      </c>
      <c r="D55" s="185">
        <f>TRUNC((SUM(D47:D54)),2)</f>
        <v>726.36</v>
      </c>
      <c r="E55" s="33"/>
      <c r="F55" s="33"/>
      <c r="G55" s="33"/>
    </row>
    <row r="56" spans="1:7">
      <c r="A56" s="180"/>
      <c r="B56" s="33"/>
      <c r="C56" s="194"/>
      <c r="D56" s="185"/>
      <c r="E56" s="33"/>
      <c r="F56" s="33"/>
      <c r="G56" s="33"/>
    </row>
    <row r="57" spans="1:7">
      <c r="A57" s="179" t="s">
        <v>81</v>
      </c>
      <c r="B57" s="179"/>
      <c r="C57" s="179"/>
      <c r="D57" s="179"/>
      <c r="E57" s="33"/>
      <c r="F57" s="33"/>
      <c r="G57" s="33"/>
    </row>
    <row r="58" spans="1:7">
      <c r="A58" s="180" t="s">
        <v>82</v>
      </c>
      <c r="B58" s="33" t="s">
        <v>83</v>
      </c>
      <c r="C58" s="180" t="s">
        <v>4</v>
      </c>
      <c r="D58" s="180" t="s">
        <v>5</v>
      </c>
      <c r="E58" s="33"/>
      <c r="F58" s="33"/>
      <c r="G58" s="33"/>
    </row>
    <row r="59" spans="1:7">
      <c r="A59" s="180" t="s">
        <v>28</v>
      </c>
      <c r="B59" s="33" t="s">
        <v>84</v>
      </c>
      <c r="C59" s="181"/>
      <c r="D59" s="182">
        <f>TRUNC(((22*4.35)*2)-((D25/100)*6),2)</f>
        <v>99.72</v>
      </c>
      <c r="E59" s="33"/>
      <c r="F59" s="33"/>
      <c r="G59" s="33"/>
    </row>
    <row r="60" spans="1:7">
      <c r="A60" s="180" t="s">
        <v>31</v>
      </c>
      <c r="B60" s="33" t="s">
        <v>85</v>
      </c>
      <c r="C60" s="181" t="str">
        <f>C9</f>
        <v>CCT PB 000047/2021</v>
      </c>
      <c r="D60" s="182">
        <f>TRUNC((((22*18))-(((22*18))*0.2)),2)</f>
        <v>316.8</v>
      </c>
      <c r="E60" s="33"/>
      <c r="F60" s="33"/>
      <c r="G60" s="33"/>
    </row>
    <row r="61" spans="1:7">
      <c r="A61" s="180" t="s">
        <v>34</v>
      </c>
      <c r="B61" s="33" t="s">
        <v>86</v>
      </c>
      <c r="C61" s="181"/>
      <c r="D61" s="182">
        <v>0</v>
      </c>
      <c r="E61" s="33"/>
      <c r="F61" s="33"/>
      <c r="G61" s="33"/>
    </row>
    <row r="62" spans="1:7">
      <c r="A62" s="94" t="s">
        <v>36</v>
      </c>
      <c r="B62" s="197" t="s">
        <v>234</v>
      </c>
      <c r="C62" s="196"/>
      <c r="D62" s="196">
        <v>0</v>
      </c>
      <c r="E62" s="33"/>
      <c r="F62" s="197"/>
      <c r="G62" s="33"/>
    </row>
    <row r="63" spans="1:7">
      <c r="A63" s="180" t="s">
        <v>39</v>
      </c>
      <c r="B63" s="33" t="s">
        <v>193</v>
      </c>
      <c r="C63" s="181" t="str">
        <f>C9</f>
        <v>CCT PB 000047/2021</v>
      </c>
      <c r="D63" s="222">
        <v>15</v>
      </c>
      <c r="E63" s="33"/>
      <c r="F63" s="33"/>
      <c r="G63" s="33"/>
    </row>
    <row r="64" spans="1:7">
      <c r="A64" s="180" t="s">
        <v>41</v>
      </c>
      <c r="B64" s="199" t="s">
        <v>194</v>
      </c>
      <c r="C64" s="196" t="str">
        <f>C9</f>
        <v>CCT PB 000047/2021</v>
      </c>
      <c r="D64" s="222">
        <v>5</v>
      </c>
      <c r="E64" s="33"/>
      <c r="F64" s="33"/>
      <c r="G64" s="33"/>
    </row>
    <row r="65" spans="1:7">
      <c r="A65" s="180" t="s">
        <v>44</v>
      </c>
      <c r="B65" s="33"/>
      <c r="C65" s="33"/>
      <c r="D65" s="185">
        <f>TRUNC((SUM(D59:D64)),2)</f>
        <v>436.52</v>
      </c>
      <c r="E65" s="33"/>
      <c r="F65" s="33"/>
      <c r="G65" s="33"/>
    </row>
    <row r="66" spans="1:7">
      <c r="A66" s="180"/>
      <c r="B66" s="33"/>
      <c r="C66" s="33"/>
      <c r="D66" s="185"/>
      <c r="E66" s="33"/>
      <c r="F66" s="33"/>
      <c r="G66" s="33"/>
    </row>
    <row r="67" spans="1:7">
      <c r="A67" s="179" t="s">
        <v>91</v>
      </c>
      <c r="B67" s="179"/>
      <c r="C67" s="179"/>
      <c r="D67" s="179"/>
      <c r="E67" s="33"/>
      <c r="F67" s="33"/>
      <c r="G67" s="33"/>
    </row>
    <row r="68" spans="1:7">
      <c r="A68" s="180" t="s">
        <v>92</v>
      </c>
      <c r="B68" s="33" t="s">
        <v>93</v>
      </c>
      <c r="C68" s="180" t="s">
        <v>4</v>
      </c>
      <c r="D68" s="180" t="s">
        <v>5</v>
      </c>
      <c r="E68" s="33"/>
      <c r="F68" s="33"/>
      <c r="G68" s="33"/>
    </row>
    <row r="69" spans="1:7">
      <c r="A69" s="180" t="s">
        <v>51</v>
      </c>
      <c r="B69" s="33" t="s">
        <v>52</v>
      </c>
      <c r="C69" s="180"/>
      <c r="D69" s="185">
        <f>D39</f>
        <v>297.1</v>
      </c>
      <c r="E69" s="33"/>
      <c r="F69" s="33"/>
      <c r="G69" s="33"/>
    </row>
    <row r="70" spans="1:7">
      <c r="A70" s="180" t="s">
        <v>64</v>
      </c>
      <c r="B70" s="33" t="s">
        <v>65</v>
      </c>
      <c r="C70" s="180"/>
      <c r="D70" s="185">
        <f>D55</f>
        <v>726.36</v>
      </c>
      <c r="E70" s="33"/>
      <c r="F70" s="33"/>
      <c r="G70" s="33"/>
    </row>
    <row r="71" spans="1:7">
      <c r="A71" s="180" t="s">
        <v>82</v>
      </c>
      <c r="B71" s="33" t="s">
        <v>83</v>
      </c>
      <c r="C71" s="180"/>
      <c r="D71" s="185">
        <f>D65</f>
        <v>436.52</v>
      </c>
      <c r="E71" s="33"/>
      <c r="F71" s="33"/>
      <c r="G71" s="33"/>
    </row>
    <row r="72" spans="1:7">
      <c r="A72" s="180" t="s">
        <v>44</v>
      </c>
      <c r="B72" s="33"/>
      <c r="C72" s="180"/>
      <c r="D72" s="185">
        <f>TRUNC(SUM(D69:D71),2)</f>
        <v>1459.98</v>
      </c>
      <c r="E72" s="33"/>
      <c r="F72" s="33"/>
      <c r="G72" s="33"/>
    </row>
    <row r="73" spans="1:7">
      <c r="A73" s="33"/>
      <c r="B73" s="33"/>
      <c r="C73" s="33"/>
      <c r="D73" s="33"/>
      <c r="E73" s="33"/>
      <c r="F73" s="33"/>
      <c r="G73" s="33"/>
    </row>
    <row r="74" spans="1:7">
      <c r="A74" s="163" t="s">
        <v>94</v>
      </c>
      <c r="B74" s="163"/>
      <c r="C74" s="163"/>
      <c r="D74" s="163"/>
      <c r="E74" s="33"/>
      <c r="F74" s="33"/>
      <c r="G74" s="33"/>
    </row>
    <row r="75" spans="1:7">
      <c r="A75" s="180" t="s">
        <v>95</v>
      </c>
      <c r="B75" s="33" t="s">
        <v>96</v>
      </c>
      <c r="C75" s="180" t="s">
        <v>24</v>
      </c>
      <c r="D75" s="180" t="s">
        <v>5</v>
      </c>
      <c r="E75" s="33"/>
      <c r="F75" s="33"/>
      <c r="G75" s="33"/>
    </row>
    <row r="76" spans="1:7">
      <c r="A76" s="180" t="s">
        <v>28</v>
      </c>
      <c r="B76" s="33" t="s">
        <v>97</v>
      </c>
      <c r="C76" s="195">
        <f>((1/12)*5%)</f>
        <v>0.00416666666666667</v>
      </c>
      <c r="D76" s="196">
        <f t="shared" ref="D76:D79" si="1">TRUNC(($D$31*C76),2)</f>
        <v>6.36</v>
      </c>
      <c r="E76" s="33"/>
      <c r="F76" s="33"/>
      <c r="G76" s="33"/>
    </row>
    <row r="77" spans="1:7">
      <c r="A77" s="180" t="s">
        <v>31</v>
      </c>
      <c r="B77" s="33" t="s">
        <v>98</v>
      </c>
      <c r="C77" s="201">
        <v>0.08</v>
      </c>
      <c r="D77" s="200">
        <f>TRUNC(($D$76*C77),2)</f>
        <v>0.5</v>
      </c>
      <c r="E77" s="33"/>
      <c r="F77" s="33"/>
      <c r="G77" s="33"/>
    </row>
    <row r="78" spans="1:7">
      <c r="A78" s="180" t="s">
        <v>34</v>
      </c>
      <c r="B78" s="202" t="s">
        <v>99</v>
      </c>
      <c r="C78" s="203">
        <f>(0.08*0.4*0.05)</f>
        <v>0.0016</v>
      </c>
      <c r="D78" s="196">
        <f t="shared" si="1"/>
        <v>2.44</v>
      </c>
      <c r="E78" s="33"/>
      <c r="F78" s="33"/>
      <c r="G78" s="33"/>
    </row>
    <row r="79" spans="1:7">
      <c r="A79" s="180" t="s">
        <v>36</v>
      </c>
      <c r="B79" s="33" t="s">
        <v>100</v>
      </c>
      <c r="C79" s="204">
        <f>(((7/30)/12)*0.95)</f>
        <v>0.0184722222222222</v>
      </c>
      <c r="D79" s="205">
        <f t="shared" si="1"/>
        <v>28.22</v>
      </c>
      <c r="E79" s="33"/>
      <c r="F79" s="33"/>
      <c r="G79" s="33"/>
    </row>
    <row r="80" ht="30" spans="1:7">
      <c r="A80" s="180" t="s">
        <v>39</v>
      </c>
      <c r="B80" s="202" t="s">
        <v>195</v>
      </c>
      <c r="C80" s="203">
        <f>C55</f>
        <v>0.398</v>
      </c>
      <c r="D80" s="196">
        <f>TRUNC(($D$79*C80),2)</f>
        <v>11.23</v>
      </c>
      <c r="E80" s="33"/>
      <c r="F80" s="33"/>
      <c r="G80" s="33"/>
    </row>
    <row r="81" spans="1:7">
      <c r="A81" s="180" t="s">
        <v>41</v>
      </c>
      <c r="B81" s="202" t="s">
        <v>101</v>
      </c>
      <c r="C81" s="203">
        <f>(0.08*0.4*0.95)</f>
        <v>0.0304</v>
      </c>
      <c r="D81" s="196">
        <f>TRUNC(($D$31*C81),2)</f>
        <v>46.45</v>
      </c>
      <c r="E81" s="33"/>
      <c r="F81" s="33"/>
      <c r="G81" s="33"/>
    </row>
    <row r="82" spans="1:7">
      <c r="A82" s="180" t="s">
        <v>44</v>
      </c>
      <c r="B82" s="33"/>
      <c r="C82" s="201">
        <f>SUM(C76:C81)</f>
        <v>0.532638888888889</v>
      </c>
      <c r="D82" s="200">
        <f>TRUNC((SUM(D76:D81)),2)</f>
        <v>95.2</v>
      </c>
      <c r="E82" s="33"/>
      <c r="F82" s="33"/>
      <c r="G82" s="33"/>
    </row>
    <row r="83" ht="15.75" spans="1:7">
      <c r="A83" s="180"/>
      <c r="B83" s="33"/>
      <c r="C83" s="33"/>
      <c r="D83" s="185"/>
      <c r="E83" s="33"/>
      <c r="F83" s="33"/>
      <c r="G83" s="33"/>
    </row>
    <row r="84" ht="16.5" spans="1:7">
      <c r="A84" s="189" t="s">
        <v>196</v>
      </c>
      <c r="B84" s="189"/>
      <c r="C84" s="190" t="s">
        <v>188</v>
      </c>
      <c r="D84" s="191">
        <f>D31</f>
        <v>1528</v>
      </c>
      <c r="E84" s="33"/>
      <c r="F84" s="33"/>
      <c r="G84" s="33"/>
    </row>
    <row r="85" ht="16.5" spans="1:7">
      <c r="A85" s="189"/>
      <c r="B85" s="189"/>
      <c r="C85" s="192" t="s">
        <v>197</v>
      </c>
      <c r="D85" s="191">
        <f>D72</f>
        <v>1459.98</v>
      </c>
      <c r="E85" s="33"/>
      <c r="F85" s="33"/>
      <c r="G85" s="33"/>
    </row>
    <row r="86" ht="16.5" spans="1:7">
      <c r="A86" s="189"/>
      <c r="B86" s="189"/>
      <c r="C86" s="190" t="s">
        <v>198</v>
      </c>
      <c r="D86" s="191">
        <f>D82</f>
        <v>95.2</v>
      </c>
      <c r="E86" s="33"/>
      <c r="F86" s="33"/>
      <c r="G86" s="33"/>
    </row>
    <row r="87" ht="16.5" spans="1:7">
      <c r="A87" s="189"/>
      <c r="B87" s="189"/>
      <c r="C87" s="192" t="s">
        <v>190</v>
      </c>
      <c r="D87" s="193">
        <f>TRUNC((SUM(D84:D86)),2)</f>
        <v>3083.18</v>
      </c>
      <c r="E87" s="33"/>
      <c r="F87" s="33"/>
      <c r="G87" s="33"/>
    </row>
    <row r="88" ht="15.75" spans="1:7">
      <c r="A88" s="180"/>
      <c r="B88" s="33"/>
      <c r="C88" s="33"/>
      <c r="D88" s="185"/>
      <c r="E88" s="33"/>
      <c r="F88" s="33"/>
      <c r="G88" s="33"/>
    </row>
    <row r="89" spans="1:7">
      <c r="A89" s="206" t="s">
        <v>113</v>
      </c>
      <c r="B89" s="206"/>
      <c r="C89" s="206"/>
      <c r="D89" s="206"/>
      <c r="E89" s="33"/>
      <c r="F89" s="33"/>
      <c r="G89" s="33"/>
    </row>
    <row r="90" spans="1:7">
      <c r="A90" s="179" t="s">
        <v>114</v>
      </c>
      <c r="B90" s="179"/>
      <c r="C90" s="179"/>
      <c r="D90" s="179"/>
      <c r="E90" s="33"/>
      <c r="F90" s="33"/>
      <c r="G90" s="33"/>
    </row>
    <row r="91" spans="1:7">
      <c r="A91" s="180" t="s">
        <v>115</v>
      </c>
      <c r="B91" s="33" t="s">
        <v>116</v>
      </c>
      <c r="C91" s="180" t="s">
        <v>24</v>
      </c>
      <c r="D91" s="180" t="s">
        <v>5</v>
      </c>
      <c r="E91" s="33"/>
      <c r="F91" s="33"/>
      <c r="G91" s="33"/>
    </row>
    <row r="92" spans="1:7">
      <c r="A92" s="180" t="s">
        <v>28</v>
      </c>
      <c r="B92" s="33" t="s">
        <v>199</v>
      </c>
      <c r="C92" s="201">
        <f>(((1+1/3)/12)/12)+((1/12)/12)</f>
        <v>0.0162037037037037</v>
      </c>
      <c r="D92" s="185">
        <f t="shared" ref="D92:D96" si="2">TRUNC(($D$87*C92),2)</f>
        <v>49.95</v>
      </c>
      <c r="E92" s="33"/>
      <c r="F92" s="33"/>
      <c r="G92" s="33"/>
    </row>
    <row r="93" spans="1:7">
      <c r="A93" s="180" t="s">
        <v>31</v>
      </c>
      <c r="B93" s="33" t="s">
        <v>119</v>
      </c>
      <c r="C93" s="195">
        <f>((2/30)/12)</f>
        <v>0.00555555555555556</v>
      </c>
      <c r="D93" s="196">
        <f t="shared" si="2"/>
        <v>17.12</v>
      </c>
      <c r="E93" s="33"/>
      <c r="F93" s="33"/>
      <c r="G93" s="33"/>
    </row>
    <row r="94" spans="1:7">
      <c r="A94" s="180" t="s">
        <v>34</v>
      </c>
      <c r="B94" s="33" t="s">
        <v>120</v>
      </c>
      <c r="C94" s="195">
        <f>((5/30)/12)*0.02</f>
        <v>0.000277777777777778</v>
      </c>
      <c r="D94" s="196">
        <f t="shared" si="2"/>
        <v>0.85</v>
      </c>
      <c r="E94" s="33"/>
      <c r="F94" s="33"/>
      <c r="G94" s="33"/>
    </row>
    <row r="95" spans="1:7">
      <c r="A95" s="94" t="s">
        <v>36</v>
      </c>
      <c r="B95" s="202" t="s">
        <v>121</v>
      </c>
      <c r="C95" s="203">
        <f>((15/30)/12)*0.08</f>
        <v>0.00333333333333333</v>
      </c>
      <c r="D95" s="196">
        <f t="shared" si="2"/>
        <v>10.27</v>
      </c>
      <c r="E95" s="33"/>
      <c r="F95" s="33"/>
      <c r="G95" s="33"/>
    </row>
    <row r="96" spans="1:7">
      <c r="A96" s="180" t="s">
        <v>39</v>
      </c>
      <c r="B96" s="33" t="s">
        <v>122</v>
      </c>
      <c r="C96" s="195">
        <f>((1+1/3)/12)*0.03*((4/12))</f>
        <v>0.00111111111111111</v>
      </c>
      <c r="D96" s="196">
        <f t="shared" si="2"/>
        <v>3.42</v>
      </c>
      <c r="E96" s="33"/>
      <c r="F96" s="33"/>
      <c r="G96" s="33"/>
    </row>
    <row r="97" spans="1:7">
      <c r="A97" s="180" t="s">
        <v>41</v>
      </c>
      <c r="B97" s="202" t="s">
        <v>200</v>
      </c>
      <c r="C97" s="207">
        <v>0</v>
      </c>
      <c r="D97" s="196">
        <f>TRUNC($D$87*C97)</f>
        <v>0</v>
      </c>
      <c r="E97" s="33"/>
      <c r="F97" s="33"/>
      <c r="G97" s="33"/>
    </row>
    <row r="98" spans="1:7">
      <c r="A98" s="180" t="s">
        <v>44</v>
      </c>
      <c r="B98" s="33"/>
      <c r="C98" s="201">
        <f>SUM(C92:C97)</f>
        <v>0.0264814814814815</v>
      </c>
      <c r="D98" s="185">
        <f>TRUNC((SUM(D92:D97)),2)</f>
        <v>81.61</v>
      </c>
      <c r="E98" s="33"/>
      <c r="F98" s="33"/>
      <c r="G98" s="33"/>
    </row>
    <row r="99" spans="1:7">
      <c r="A99" s="180"/>
      <c r="B99" s="33"/>
      <c r="C99" s="180"/>
      <c r="D99" s="185"/>
      <c r="E99" s="33"/>
      <c r="F99" s="33"/>
      <c r="G99" s="33"/>
    </row>
    <row r="100" spans="1:7">
      <c r="A100" s="179" t="s">
        <v>130</v>
      </c>
      <c r="B100" s="179"/>
      <c r="C100" s="179"/>
      <c r="D100" s="179"/>
      <c r="E100" s="33"/>
      <c r="F100" s="33"/>
      <c r="G100" s="33"/>
    </row>
    <row r="101" spans="1:7">
      <c r="A101" s="180" t="s">
        <v>131</v>
      </c>
      <c r="B101" s="33" t="s">
        <v>132</v>
      </c>
      <c r="C101" s="180" t="s">
        <v>4</v>
      </c>
      <c r="D101" s="180" t="s">
        <v>5</v>
      </c>
      <c r="E101" s="33"/>
      <c r="F101" s="33"/>
      <c r="G101" s="33"/>
    </row>
    <row r="102" ht="75" spans="1:7">
      <c r="A102" s="94" t="s">
        <v>28</v>
      </c>
      <c r="B102" s="208" t="s">
        <v>133</v>
      </c>
      <c r="C102" s="209" t="s">
        <v>201</v>
      </c>
      <c r="D102" s="210" t="s">
        <v>202</v>
      </c>
      <c r="E102" s="33"/>
      <c r="F102" s="33"/>
      <c r="G102" s="33"/>
    </row>
    <row r="103" spans="1:7">
      <c r="A103" s="180" t="s">
        <v>44</v>
      </c>
      <c r="B103" s="33"/>
      <c r="C103" s="180"/>
      <c r="D103" s="211" t="str">
        <f>D102</f>
        <v>*=TRUNCAR(($D$86/220)*(1*(365/12))/2)</v>
      </c>
      <c r="E103" s="33"/>
      <c r="F103" s="33"/>
      <c r="G103" s="33"/>
    </row>
    <row r="104" spans="1:7">
      <c r="A104" s="33"/>
      <c r="B104" s="33"/>
      <c r="C104" s="33"/>
      <c r="D104" s="33"/>
      <c r="E104" s="33"/>
      <c r="F104" s="33"/>
      <c r="G104" s="33"/>
    </row>
    <row r="105" spans="1:7">
      <c r="A105" s="179" t="s">
        <v>134</v>
      </c>
      <c r="B105" s="179"/>
      <c r="C105" s="179"/>
      <c r="D105" s="179"/>
      <c r="E105" s="33"/>
      <c r="F105" s="33"/>
      <c r="G105" s="33"/>
    </row>
    <row r="106" spans="1:7">
      <c r="A106" s="180" t="s">
        <v>135</v>
      </c>
      <c r="B106" s="33" t="s">
        <v>136</v>
      </c>
      <c r="C106" s="180" t="s">
        <v>4</v>
      </c>
      <c r="D106" s="180" t="s">
        <v>5</v>
      </c>
      <c r="E106" s="33"/>
      <c r="F106" s="33"/>
      <c r="G106" s="33"/>
    </row>
    <row r="107" spans="1:7">
      <c r="A107" s="180" t="s">
        <v>115</v>
      </c>
      <c r="B107" s="33" t="s">
        <v>116</v>
      </c>
      <c r="C107" s="33"/>
      <c r="D107" s="182">
        <f>D98</f>
        <v>81.61</v>
      </c>
      <c r="E107" s="33"/>
      <c r="F107" s="33"/>
      <c r="G107" s="33"/>
    </row>
    <row r="108" spans="1:7">
      <c r="A108" s="180" t="s">
        <v>131</v>
      </c>
      <c r="B108" s="33" t="s">
        <v>137</v>
      </c>
      <c r="C108" s="33"/>
      <c r="D108" s="212" t="str">
        <f>Submódulo4.260_812010265[[#Totals],[Valor]]</f>
        <v>*=TRUNCAR(($D$86/220)*(1*(365/12))/2)</v>
      </c>
      <c r="E108" s="33"/>
      <c r="F108" s="33"/>
      <c r="G108" s="33"/>
    </row>
    <row r="109" ht="45" spans="1:7">
      <c r="A109" s="94" t="s">
        <v>44</v>
      </c>
      <c r="B109" s="197"/>
      <c r="C109" s="209" t="s">
        <v>203</v>
      </c>
      <c r="D109" s="200">
        <f>TRUNC((SUM(D107:D108)),2)</f>
        <v>81.61</v>
      </c>
      <c r="E109" s="33"/>
      <c r="F109" s="33"/>
      <c r="G109" s="33"/>
    </row>
    <row r="110" spans="1:7">
      <c r="A110" s="33"/>
      <c r="B110" s="33"/>
      <c r="C110" s="33"/>
      <c r="D110" s="33"/>
      <c r="E110" s="33"/>
      <c r="F110" s="33"/>
      <c r="G110" s="33"/>
    </row>
    <row r="111" spans="1:7">
      <c r="A111" s="163" t="s">
        <v>138</v>
      </c>
      <c r="B111" s="163"/>
      <c r="C111" s="163"/>
      <c r="D111" s="163"/>
      <c r="E111" s="33"/>
      <c r="F111" s="33"/>
      <c r="G111" s="33"/>
    </row>
    <row r="112" spans="1:7">
      <c r="A112" s="180" t="s">
        <v>139</v>
      </c>
      <c r="B112" s="33" t="s">
        <v>140</v>
      </c>
      <c r="C112" s="180" t="s">
        <v>4</v>
      </c>
      <c r="D112" s="180" t="s">
        <v>5</v>
      </c>
      <c r="E112" s="33"/>
      <c r="F112" s="33"/>
      <c r="G112" s="33"/>
    </row>
    <row r="113" spans="1:7">
      <c r="A113" s="180" t="s">
        <v>28</v>
      </c>
      <c r="B113" s="33" t="s">
        <v>204</v>
      </c>
      <c r="C113" s="33"/>
      <c r="D113" s="182">
        <f>Uniformes!G101</f>
        <v>97.57</v>
      </c>
      <c r="E113" s="33"/>
      <c r="F113" s="33"/>
      <c r="G113" s="33"/>
    </row>
    <row r="114" spans="1:7">
      <c r="A114" s="180" t="s">
        <v>31</v>
      </c>
      <c r="B114" s="33" t="s">
        <v>205</v>
      </c>
      <c r="C114" s="33"/>
      <c r="D114" s="182">
        <f>EPC!E21</f>
        <v>17.95</v>
      </c>
      <c r="E114" s="33"/>
      <c r="F114" s="33"/>
      <c r="G114" s="33"/>
    </row>
    <row r="115" spans="1:7">
      <c r="A115" s="180" t="s">
        <v>34</v>
      </c>
      <c r="B115" s="33" t="s">
        <v>142</v>
      </c>
      <c r="C115" s="33"/>
      <c r="D115" s="182">
        <f>'Materiais e Equipamentos'!E93</f>
        <v>61.2</v>
      </c>
      <c r="E115" s="33"/>
      <c r="F115" s="33"/>
      <c r="G115" s="33"/>
    </row>
    <row r="116" spans="1:7">
      <c r="A116" s="180" t="s">
        <v>36</v>
      </c>
      <c r="B116" s="33" t="s">
        <v>143</v>
      </c>
      <c r="C116" s="33"/>
      <c r="D116" s="182">
        <f>'Materiais e Equipamentos'!F124</f>
        <v>16.72</v>
      </c>
      <c r="E116" s="33"/>
      <c r="F116" s="33"/>
      <c r="G116" s="33"/>
    </row>
    <row r="117" spans="1:7">
      <c r="A117" s="180" t="s">
        <v>39</v>
      </c>
      <c r="B117" s="33" t="s">
        <v>42</v>
      </c>
      <c r="C117" s="33"/>
      <c r="D117" s="182">
        <f>H116</f>
        <v>0</v>
      </c>
      <c r="E117" s="33"/>
      <c r="F117" s="33"/>
      <c r="G117" s="33"/>
    </row>
    <row r="118" spans="1:7">
      <c r="A118" s="180" t="s">
        <v>44</v>
      </c>
      <c r="B118" s="33"/>
      <c r="C118" s="33"/>
      <c r="D118" s="185">
        <f>TRUNC(SUM((D113:D117)),2)</f>
        <v>193.44</v>
      </c>
      <c r="E118" s="33"/>
      <c r="F118" s="33"/>
      <c r="G118" s="33"/>
    </row>
    <row r="119" ht="15.75" spans="1:7">
      <c r="A119" s="33"/>
      <c r="B119" s="33"/>
      <c r="C119" s="33"/>
      <c r="D119" s="33"/>
      <c r="E119" s="33"/>
      <c r="F119" s="33"/>
      <c r="G119" s="33"/>
    </row>
    <row r="120" ht="16.5" spans="1:7">
      <c r="A120" s="189" t="s">
        <v>207</v>
      </c>
      <c r="B120" s="189"/>
      <c r="C120" s="190" t="s">
        <v>188</v>
      </c>
      <c r="D120" s="191">
        <f>D31</f>
        <v>1528</v>
      </c>
      <c r="E120" s="33"/>
      <c r="F120" s="33"/>
      <c r="G120" s="33"/>
    </row>
    <row r="121" ht="16.5" spans="1:7">
      <c r="A121" s="189"/>
      <c r="B121" s="189"/>
      <c r="C121" s="192" t="s">
        <v>197</v>
      </c>
      <c r="D121" s="191">
        <f>D72</f>
        <v>1459.98</v>
      </c>
      <c r="E121" s="33"/>
      <c r="F121" s="33"/>
      <c r="G121" s="33"/>
    </row>
    <row r="122" ht="16.5" spans="1:7">
      <c r="A122" s="189"/>
      <c r="B122" s="189"/>
      <c r="C122" s="190" t="s">
        <v>198</v>
      </c>
      <c r="D122" s="191">
        <f>D82</f>
        <v>95.2</v>
      </c>
      <c r="E122" s="33"/>
      <c r="F122" s="33"/>
      <c r="G122" s="33"/>
    </row>
    <row r="123" ht="16.5" spans="1:7">
      <c r="A123" s="189"/>
      <c r="B123" s="189"/>
      <c r="C123" s="192" t="s">
        <v>208</v>
      </c>
      <c r="D123" s="191">
        <f>D109</f>
        <v>81.61</v>
      </c>
      <c r="E123" s="33"/>
      <c r="F123" s="33"/>
      <c r="G123" s="33"/>
    </row>
    <row r="124" ht="16.5" spans="1:7">
      <c r="A124" s="189"/>
      <c r="B124" s="189"/>
      <c r="C124" s="190" t="s">
        <v>209</v>
      </c>
      <c r="D124" s="191">
        <f>D118</f>
        <v>193.44</v>
      </c>
      <c r="E124" s="33"/>
      <c r="F124" s="33"/>
      <c r="G124" s="33"/>
    </row>
    <row r="125" ht="16.5" spans="1:7">
      <c r="A125" s="189"/>
      <c r="B125" s="189"/>
      <c r="C125" s="192" t="s">
        <v>190</v>
      </c>
      <c r="D125" s="193">
        <f>TRUNC((SUM(D120:D124)),2)</f>
        <v>3358.23</v>
      </c>
      <c r="E125" s="33"/>
      <c r="F125" s="33"/>
      <c r="G125" s="33"/>
    </row>
    <row r="126" ht="15.75" spans="1:7">
      <c r="A126" s="33"/>
      <c r="B126" s="33"/>
      <c r="C126" s="33"/>
      <c r="D126" s="33"/>
      <c r="E126" s="33"/>
      <c r="F126" s="33"/>
      <c r="G126" s="33"/>
    </row>
    <row r="127" spans="1:7">
      <c r="A127" s="163" t="s">
        <v>150</v>
      </c>
      <c r="B127" s="163"/>
      <c r="C127" s="163"/>
      <c r="D127" s="163"/>
      <c r="E127" s="33"/>
      <c r="F127" s="33"/>
      <c r="G127" s="33"/>
    </row>
    <row r="128" spans="1:7">
      <c r="A128" s="180" t="s">
        <v>151</v>
      </c>
      <c r="B128" s="33" t="s">
        <v>152</v>
      </c>
      <c r="C128" s="180" t="s">
        <v>24</v>
      </c>
      <c r="D128" s="180" t="s">
        <v>5</v>
      </c>
      <c r="E128" s="33"/>
      <c r="F128" s="213" t="s">
        <v>210</v>
      </c>
      <c r="G128" s="213"/>
    </row>
    <row r="129" ht="15.75" spans="1:7">
      <c r="A129" s="180" t="s">
        <v>28</v>
      </c>
      <c r="B129" s="33" t="s">
        <v>153</v>
      </c>
      <c r="C129" s="195">
        <v>0.044</v>
      </c>
      <c r="D129" s="182">
        <f>TRUNC(($D$125*C129),2)</f>
        <v>147.76</v>
      </c>
      <c r="E129" s="33"/>
      <c r="F129" s="214" t="s">
        <v>211</v>
      </c>
      <c r="G129" s="203">
        <f>C131</f>
        <v>0.0865</v>
      </c>
    </row>
    <row r="130" ht="15.75" spans="1:7">
      <c r="A130" s="180" t="s">
        <v>31</v>
      </c>
      <c r="B130" s="33" t="s">
        <v>45</v>
      </c>
      <c r="C130" s="195">
        <v>0.0413</v>
      </c>
      <c r="D130" s="182">
        <f>TRUNC((C130*(D125+D129)),2)</f>
        <v>144.79</v>
      </c>
      <c r="E130" s="33"/>
      <c r="F130" s="215" t="s">
        <v>212</v>
      </c>
      <c r="G130" s="216">
        <f>TRUNC(SUM(D125,D129,D130),2)</f>
        <v>3650.78</v>
      </c>
    </row>
    <row r="131" spans="1:7">
      <c r="A131" s="180" t="s">
        <v>34</v>
      </c>
      <c r="B131" s="33" t="s">
        <v>154</v>
      </c>
      <c r="C131" s="195">
        <f>SUM(C132:C134)</f>
        <v>0.0865</v>
      </c>
      <c r="D131" s="182">
        <f>TRUNC((SUM(D132:D134)),2)</f>
        <v>345.68</v>
      </c>
      <c r="E131" s="33"/>
      <c r="F131" s="214" t="s">
        <v>213</v>
      </c>
      <c r="G131" s="217">
        <f>(100-8.65)/100</f>
        <v>0.9135</v>
      </c>
    </row>
    <row r="132" ht="15.75" spans="1:7">
      <c r="A132" s="180"/>
      <c r="B132" s="33" t="s">
        <v>214</v>
      </c>
      <c r="C132" s="195">
        <v>0.0065</v>
      </c>
      <c r="D132" s="182">
        <f t="shared" ref="D132:D134" si="3">TRUNC(($G$132*C132),2)</f>
        <v>25.97</v>
      </c>
      <c r="E132" s="33"/>
      <c r="F132" s="215" t="s">
        <v>210</v>
      </c>
      <c r="G132" s="216">
        <f>TRUNC((G130/G131),2)</f>
        <v>3996.47</v>
      </c>
    </row>
    <row r="133" ht="15.75" spans="1:7">
      <c r="A133" s="180"/>
      <c r="B133" s="33" t="s">
        <v>215</v>
      </c>
      <c r="C133" s="195">
        <v>0.03</v>
      </c>
      <c r="D133" s="182">
        <f t="shared" si="3"/>
        <v>119.89</v>
      </c>
      <c r="E133" s="33"/>
      <c r="F133" s="33"/>
      <c r="G133" s="33"/>
    </row>
    <row r="134" spans="1:7">
      <c r="A134" s="180"/>
      <c r="B134" s="33" t="s">
        <v>216</v>
      </c>
      <c r="C134" s="195">
        <v>0.05</v>
      </c>
      <c r="D134" s="182">
        <f t="shared" si="3"/>
        <v>199.82</v>
      </c>
      <c r="E134" s="33"/>
      <c r="F134" s="33"/>
      <c r="G134" s="33"/>
    </row>
    <row r="135" spans="1:7">
      <c r="A135" s="180" t="s">
        <v>44</v>
      </c>
      <c r="B135" s="33"/>
      <c r="C135" s="180"/>
      <c r="D135" s="185">
        <f>TRUNC(SUM(D129:D131),2)</f>
        <v>638.23</v>
      </c>
      <c r="E135" s="33"/>
      <c r="F135" s="33"/>
      <c r="G135" s="33"/>
    </row>
    <row r="136" spans="1:7">
      <c r="A136" s="180"/>
      <c r="B136" s="33"/>
      <c r="C136" s="180"/>
      <c r="D136" s="185"/>
      <c r="E136" s="33"/>
      <c r="F136" s="33"/>
      <c r="G136" s="33"/>
    </row>
    <row r="137" spans="1:7">
      <c r="A137" s="33"/>
      <c r="B137" s="33"/>
      <c r="C137" s="33"/>
      <c r="D137" s="33"/>
      <c r="E137" s="33"/>
      <c r="F137" s="33"/>
      <c r="G137" s="33"/>
    </row>
    <row r="138" spans="1:7">
      <c r="A138" s="163" t="s">
        <v>158</v>
      </c>
      <c r="B138" s="163"/>
      <c r="C138" s="163"/>
      <c r="D138" s="163"/>
      <c r="E138" s="33"/>
      <c r="F138" s="33"/>
      <c r="G138" s="33"/>
    </row>
    <row r="139" spans="1:7">
      <c r="A139" s="180" t="s">
        <v>2</v>
      </c>
      <c r="B139" s="180" t="s">
        <v>159</v>
      </c>
      <c r="C139" s="180" t="s">
        <v>88</v>
      </c>
      <c r="D139" s="180" t="s">
        <v>5</v>
      </c>
      <c r="E139" s="33"/>
      <c r="F139" s="33"/>
      <c r="G139" s="33"/>
    </row>
    <row r="140" spans="1:7">
      <c r="A140" s="180" t="s">
        <v>28</v>
      </c>
      <c r="B140" s="33" t="s">
        <v>22</v>
      </c>
      <c r="C140" s="33"/>
      <c r="D140" s="185">
        <f>D31</f>
        <v>1528</v>
      </c>
      <c r="E140" s="33"/>
      <c r="F140" s="33"/>
      <c r="G140" s="33"/>
    </row>
    <row r="141" spans="1:7">
      <c r="A141" s="180" t="s">
        <v>31</v>
      </c>
      <c r="B141" s="33" t="s">
        <v>47</v>
      </c>
      <c r="C141" s="33"/>
      <c r="D141" s="185">
        <f>D72</f>
        <v>1459.98</v>
      </c>
      <c r="E141" s="33"/>
      <c r="F141" s="33"/>
      <c r="G141" s="33"/>
    </row>
    <row r="142" spans="1:7">
      <c r="A142" s="180" t="s">
        <v>34</v>
      </c>
      <c r="B142" s="33" t="s">
        <v>94</v>
      </c>
      <c r="C142" s="33"/>
      <c r="D142" s="185">
        <f>D82</f>
        <v>95.2</v>
      </c>
      <c r="E142" s="33"/>
      <c r="F142" s="33"/>
      <c r="G142" s="33"/>
    </row>
    <row r="143" spans="1:7">
      <c r="A143" s="180" t="s">
        <v>36</v>
      </c>
      <c r="B143" s="33" t="s">
        <v>160</v>
      </c>
      <c r="C143" s="33"/>
      <c r="D143" s="185">
        <f>D109</f>
        <v>81.61</v>
      </c>
      <c r="E143" s="33"/>
      <c r="F143" s="33"/>
      <c r="G143" s="33"/>
    </row>
    <row r="144" spans="1:7">
      <c r="A144" s="180" t="s">
        <v>39</v>
      </c>
      <c r="B144" s="33" t="s">
        <v>138</v>
      </c>
      <c r="C144" s="33"/>
      <c r="D144" s="185">
        <f>D118</f>
        <v>193.44</v>
      </c>
      <c r="E144" s="33"/>
      <c r="F144" s="33"/>
      <c r="G144" s="33"/>
    </row>
    <row r="145" spans="1:7">
      <c r="A145" s="33"/>
      <c r="B145" s="218" t="s">
        <v>161</v>
      </c>
      <c r="C145" s="33"/>
      <c r="D145" s="185">
        <f>TRUNC(SUM(D140:D144),2)</f>
        <v>3358.23</v>
      </c>
      <c r="E145" s="33"/>
      <c r="F145" s="33"/>
      <c r="G145" s="33"/>
    </row>
    <row r="146" spans="1:7">
      <c r="A146" s="180" t="s">
        <v>41</v>
      </c>
      <c r="B146" s="33" t="s">
        <v>150</v>
      </c>
      <c r="C146" s="33"/>
      <c r="D146" s="185">
        <f>D135</f>
        <v>638.23</v>
      </c>
      <c r="E146" s="33"/>
      <c r="F146" s="33"/>
      <c r="G146" s="33"/>
    </row>
    <row r="147" spans="1:7">
      <c r="A147" s="219"/>
      <c r="B147" s="220" t="s">
        <v>217</v>
      </c>
      <c r="C147" s="219"/>
      <c r="D147" s="221">
        <f>TRUNC((SUM(D140:D144)+D146),2)</f>
        <v>3996.46</v>
      </c>
      <c r="E147" s="33"/>
      <c r="F147" s="33"/>
      <c r="G147" s="33"/>
    </row>
  </sheetData>
  <mergeCells count="33">
    <mergeCell ref="A2:D2"/>
    <mergeCell ref="A3:D3"/>
    <mergeCell ref="A6:D6"/>
    <mergeCell ref="C7:D7"/>
    <mergeCell ref="C8:D8"/>
    <mergeCell ref="C9:D9"/>
    <mergeCell ref="C10:D10"/>
    <mergeCell ref="A11:D11"/>
    <mergeCell ref="A12:B12"/>
    <mergeCell ref="A13:B13"/>
    <mergeCell ref="A14:B14"/>
    <mergeCell ref="A15:D15"/>
    <mergeCell ref="F15:G15"/>
    <mergeCell ref="F22:G22"/>
    <mergeCell ref="A23:D23"/>
    <mergeCell ref="F31:G31"/>
    <mergeCell ref="A33:D33"/>
    <mergeCell ref="A35:D35"/>
    <mergeCell ref="A45:D45"/>
    <mergeCell ref="A57:D57"/>
    <mergeCell ref="A67:D67"/>
    <mergeCell ref="A74:D74"/>
    <mergeCell ref="A89:D89"/>
    <mergeCell ref="A90:D90"/>
    <mergeCell ref="A100:D100"/>
    <mergeCell ref="A105:D105"/>
    <mergeCell ref="A111:D111"/>
    <mergeCell ref="A127:D127"/>
    <mergeCell ref="F128:G128"/>
    <mergeCell ref="A138:D138"/>
    <mergeCell ref="A41:B43"/>
    <mergeCell ref="A84:B87"/>
    <mergeCell ref="A120:B125"/>
  </mergeCells>
  <pageMargins left="0.75" right="0.75" top="1" bottom="1" header="0.5" footer="0.5"/>
  <pageSetup paperSize="9" orientation="landscape"/>
  <headerFooter/>
  <tableParts count="13">
    <tablePart r:id="rId1"/>
    <tablePart r:id="rId2"/>
    <tablePart r:id="rId3"/>
    <tablePart r:id="rId4"/>
    <tablePart r:id="rId5"/>
    <tablePart r:id="rId6"/>
    <tablePart r:id="rId7"/>
    <tablePart r:id="rId8"/>
    <tablePart r:id="rId9"/>
    <tablePart r:id="rId10"/>
    <tablePart r:id="rId11"/>
    <tablePart r:id="rId12"/>
    <tablePart r:id="rId13"/>
  </tableParts>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147"/>
  <sheetViews>
    <sheetView workbookViewId="0">
      <selection activeCell="D147" sqref="A2:D147"/>
    </sheetView>
  </sheetViews>
  <sheetFormatPr defaultColWidth="8.88571428571429" defaultRowHeight="15" outlineLevelCol="6"/>
  <cols>
    <col min="1" max="1" width="11" customWidth="1"/>
    <col min="2" max="2" width="55.5714285714286" customWidth="1"/>
    <col min="3" max="3" width="25.3333333333333" customWidth="1"/>
    <col min="4" max="4" width="34.552380952381" customWidth="1"/>
    <col min="6" max="6" width="22.552380952381" customWidth="1"/>
    <col min="7" max="7" width="14.7809523809524" customWidth="1"/>
  </cols>
  <sheetData>
    <row r="1" spans="1:7">
      <c r="A1" s="33"/>
      <c r="B1" s="33"/>
      <c r="C1" s="33"/>
      <c r="D1" s="33"/>
      <c r="E1" s="33"/>
      <c r="F1" s="33"/>
      <c r="G1" s="33"/>
    </row>
    <row r="2" ht="19.5" spans="1:7">
      <c r="A2" s="156" t="s">
        <v>163</v>
      </c>
      <c r="B2" s="156"/>
      <c r="C2" s="156"/>
      <c r="D2" s="156"/>
      <c r="E2" s="33"/>
      <c r="F2" s="33"/>
      <c r="G2" s="33"/>
    </row>
    <row r="3" ht="15.75" spans="1:7">
      <c r="A3" s="157" t="s">
        <v>228</v>
      </c>
      <c r="B3" s="157"/>
      <c r="C3" s="157"/>
      <c r="D3" s="157"/>
      <c r="E3" s="33"/>
      <c r="F3" s="33"/>
      <c r="G3" s="33"/>
    </row>
    <row r="4" spans="1:7">
      <c r="A4" s="158" t="s">
        <v>165</v>
      </c>
      <c r="B4" s="159" t="s">
        <v>166</v>
      </c>
      <c r="C4" s="160"/>
      <c r="D4" s="160"/>
      <c r="E4" s="33"/>
      <c r="F4" s="33"/>
      <c r="G4" s="33"/>
    </row>
    <row r="5" spans="1:7">
      <c r="A5" s="161"/>
      <c r="B5" s="162"/>
      <c r="C5" s="162"/>
      <c r="D5" s="162"/>
      <c r="E5" s="33"/>
      <c r="F5" s="33"/>
      <c r="G5" s="33"/>
    </row>
    <row r="6" ht="15.75" spans="1:7">
      <c r="A6" s="163" t="s">
        <v>167</v>
      </c>
      <c r="B6" s="163"/>
      <c r="C6" s="163"/>
      <c r="D6" s="163"/>
      <c r="E6" s="33"/>
      <c r="F6" s="33"/>
      <c r="G6" s="33"/>
    </row>
    <row r="7" ht="15.75" spans="1:7">
      <c r="A7" s="164" t="s">
        <v>28</v>
      </c>
      <c r="B7" s="165" t="s">
        <v>168</v>
      </c>
      <c r="C7" s="166" t="s">
        <v>169</v>
      </c>
      <c r="D7" s="166"/>
      <c r="E7" s="33"/>
      <c r="F7" s="33"/>
      <c r="G7" s="33"/>
    </row>
    <row r="8" spans="1:7">
      <c r="A8" s="167" t="s">
        <v>31</v>
      </c>
      <c r="B8" s="168" t="s">
        <v>170</v>
      </c>
      <c r="C8" s="169" t="s">
        <v>171</v>
      </c>
      <c r="D8" s="169"/>
      <c r="E8" s="33"/>
      <c r="F8" s="33"/>
      <c r="G8" s="33"/>
    </row>
    <row r="9" spans="1:7">
      <c r="A9" s="170" t="s">
        <v>34</v>
      </c>
      <c r="B9" s="171" t="s">
        <v>172</v>
      </c>
      <c r="C9" s="169" t="s">
        <v>229</v>
      </c>
      <c r="D9" s="169"/>
      <c r="E9" s="33"/>
      <c r="F9" s="33"/>
      <c r="G9" s="33"/>
    </row>
    <row r="10" spans="1:7">
      <c r="A10" s="167" t="s">
        <v>39</v>
      </c>
      <c r="B10" s="168" t="s">
        <v>174</v>
      </c>
      <c r="C10" s="169" t="s">
        <v>175</v>
      </c>
      <c r="D10" s="169"/>
      <c r="E10" s="33"/>
      <c r="F10" s="33"/>
      <c r="G10" s="33"/>
    </row>
    <row r="11" ht="15.75" spans="1:7">
      <c r="A11" s="172" t="s">
        <v>176</v>
      </c>
      <c r="B11" s="172"/>
      <c r="C11" s="172"/>
      <c r="D11" s="172"/>
      <c r="E11" s="33"/>
      <c r="F11" s="33"/>
      <c r="G11" s="33"/>
    </row>
    <row r="12" ht="16.5" spans="1:7">
      <c r="A12" s="173" t="s">
        <v>177</v>
      </c>
      <c r="B12" s="173"/>
      <c r="C12" s="172" t="s">
        <v>178</v>
      </c>
      <c r="D12" s="174" t="s">
        <v>179</v>
      </c>
      <c r="E12" s="33"/>
      <c r="F12" s="33"/>
      <c r="G12" s="33"/>
    </row>
    <row r="13" ht="15.75" spans="1:7">
      <c r="A13" s="175" t="s">
        <v>240</v>
      </c>
      <c r="B13" s="175"/>
      <c r="C13" s="169" t="s">
        <v>181</v>
      </c>
      <c r="D13" s="176">
        <f>RESUMO!D9</f>
        <v>1</v>
      </c>
      <c r="E13" s="33"/>
      <c r="F13" s="33"/>
      <c r="G13" s="33"/>
    </row>
    <row r="14" spans="1:7">
      <c r="A14" s="177"/>
      <c r="B14" s="177"/>
      <c r="C14" s="169"/>
      <c r="D14" s="178"/>
      <c r="E14" s="33"/>
      <c r="F14" s="33"/>
      <c r="G14" s="33"/>
    </row>
    <row r="15" ht="15.75" spans="1:7">
      <c r="A15" s="172" t="s">
        <v>0</v>
      </c>
      <c r="B15" s="172"/>
      <c r="C15" s="172"/>
      <c r="D15" s="172"/>
      <c r="E15" s="33"/>
      <c r="F15" s="179"/>
      <c r="G15" s="179"/>
    </row>
    <row r="16" ht="15.75" spans="1:7">
      <c r="A16" s="180" t="s">
        <v>2</v>
      </c>
      <c r="B16" s="33" t="s">
        <v>3</v>
      </c>
      <c r="C16" s="180" t="s">
        <v>4</v>
      </c>
      <c r="D16" s="180" t="s">
        <v>5</v>
      </c>
      <c r="E16" s="33"/>
      <c r="F16" s="33"/>
      <c r="G16" s="33"/>
    </row>
    <row r="17" spans="1:7">
      <c r="A17" s="180">
        <v>1</v>
      </c>
      <c r="B17" s="33" t="s">
        <v>6</v>
      </c>
      <c r="C17" s="181" t="s">
        <v>88</v>
      </c>
      <c r="D17" s="181" t="str">
        <f>A13</f>
        <v>Técnico Mecânico em Refrigeração</v>
      </c>
      <c r="E17" s="33"/>
      <c r="F17" s="33"/>
      <c r="G17" s="33"/>
    </row>
    <row r="18" spans="1:7">
      <c r="A18" s="180">
        <v>2</v>
      </c>
      <c r="B18" s="33" t="s">
        <v>9</v>
      </c>
      <c r="C18" s="181" t="s">
        <v>182</v>
      </c>
      <c r="D18" s="181" t="s">
        <v>241</v>
      </c>
      <c r="E18" s="33"/>
      <c r="F18" s="33"/>
      <c r="G18" s="33"/>
    </row>
    <row r="19" spans="1:7">
      <c r="A19" s="180">
        <v>3</v>
      </c>
      <c r="B19" s="33" t="s">
        <v>12</v>
      </c>
      <c r="C19" s="181" t="str">
        <f>C9</f>
        <v>CCT PB 000047/2021</v>
      </c>
      <c r="D19" s="182">
        <v>1528</v>
      </c>
      <c r="E19" s="33"/>
      <c r="F19" s="33"/>
      <c r="G19" s="33"/>
    </row>
    <row r="20" spans="1:7">
      <c r="A20" s="180">
        <v>4</v>
      </c>
      <c r="B20" s="33" t="s">
        <v>15</v>
      </c>
      <c r="C20" s="181" t="str">
        <f>C9</f>
        <v>CCT PB 000047/2021</v>
      </c>
      <c r="D20" s="181" t="s">
        <v>184</v>
      </c>
      <c r="E20" s="33"/>
      <c r="F20" s="33"/>
      <c r="G20" s="33"/>
    </row>
    <row r="21" spans="1:7">
      <c r="A21" s="180">
        <v>5</v>
      </c>
      <c r="B21" s="33" t="s">
        <v>19</v>
      </c>
      <c r="C21" s="181" t="str">
        <f>C9</f>
        <v>CCT PB 000047/2021</v>
      </c>
      <c r="D21" s="183" t="s">
        <v>185</v>
      </c>
      <c r="E21" s="33"/>
      <c r="F21" s="33"/>
      <c r="G21" s="33"/>
    </row>
    <row r="22" spans="1:7">
      <c r="A22" s="33"/>
      <c r="B22" s="33"/>
      <c r="C22" s="33"/>
      <c r="D22" s="33"/>
      <c r="E22" s="33"/>
      <c r="F22" s="179"/>
      <c r="G22" s="179"/>
    </row>
    <row r="23" spans="1:7">
      <c r="A23" s="163" t="s">
        <v>22</v>
      </c>
      <c r="B23" s="163"/>
      <c r="C23" s="163"/>
      <c r="D23" s="163"/>
      <c r="E23" s="33"/>
      <c r="F23" s="33"/>
      <c r="G23" s="33"/>
    </row>
    <row r="24" spans="1:7">
      <c r="A24" s="180" t="s">
        <v>25</v>
      </c>
      <c r="B24" s="33" t="s">
        <v>26</v>
      </c>
      <c r="C24" s="180" t="s">
        <v>4</v>
      </c>
      <c r="D24" s="180" t="s">
        <v>5</v>
      </c>
      <c r="E24" s="33"/>
      <c r="F24" s="33"/>
      <c r="G24" s="184"/>
    </row>
    <row r="25" spans="1:7">
      <c r="A25" s="180" t="s">
        <v>28</v>
      </c>
      <c r="B25" s="33" t="s">
        <v>29</v>
      </c>
      <c r="C25" s="181" t="s">
        <v>232</v>
      </c>
      <c r="D25" s="182">
        <f>D19</f>
        <v>1528</v>
      </c>
      <c r="E25" s="33"/>
      <c r="F25" s="33"/>
      <c r="G25" s="184"/>
    </row>
    <row r="26" spans="1:7">
      <c r="A26" s="180" t="s">
        <v>31</v>
      </c>
      <c r="B26" s="33" t="s">
        <v>32</v>
      </c>
      <c r="C26" s="181"/>
      <c r="D26" s="182">
        <v>0</v>
      </c>
      <c r="E26" s="33"/>
      <c r="F26" s="33"/>
      <c r="G26" s="184"/>
    </row>
    <row r="27" spans="1:7">
      <c r="A27" s="180" t="s">
        <v>34</v>
      </c>
      <c r="B27" s="33" t="s">
        <v>35</v>
      </c>
      <c r="C27" s="181"/>
      <c r="D27" s="182">
        <v>0</v>
      </c>
      <c r="E27" s="33"/>
      <c r="F27" s="33"/>
      <c r="G27" s="33"/>
    </row>
    <row r="28" spans="1:7">
      <c r="A28" s="180" t="s">
        <v>36</v>
      </c>
      <c r="B28" s="33" t="s">
        <v>37</v>
      </c>
      <c r="C28" s="181"/>
      <c r="D28" s="182">
        <v>0</v>
      </c>
      <c r="E28" s="33"/>
      <c r="F28" s="33"/>
      <c r="G28" s="33"/>
    </row>
    <row r="29" spans="1:7">
      <c r="A29" s="180" t="s">
        <v>39</v>
      </c>
      <c r="B29" s="33" t="s">
        <v>40</v>
      </c>
      <c r="C29" s="181"/>
      <c r="D29" s="182">
        <v>0</v>
      </c>
      <c r="E29" s="33"/>
      <c r="F29" s="33"/>
      <c r="G29" s="33"/>
    </row>
    <row r="30" spans="1:7">
      <c r="A30" s="180" t="s">
        <v>41</v>
      </c>
      <c r="B30" s="33" t="s">
        <v>42</v>
      </c>
      <c r="C30" s="181"/>
      <c r="D30" s="182">
        <v>0</v>
      </c>
      <c r="E30" s="33"/>
      <c r="F30" s="33"/>
      <c r="G30" s="33"/>
    </row>
    <row r="31" spans="1:7">
      <c r="A31" s="180" t="s">
        <v>44</v>
      </c>
      <c r="B31" s="33"/>
      <c r="C31" s="180"/>
      <c r="D31" s="185">
        <f>TRUNC(SUM(D25:D30),2)</f>
        <v>1528</v>
      </c>
      <c r="E31" s="33"/>
      <c r="F31" s="179"/>
      <c r="G31" s="179"/>
    </row>
    <row r="32" spans="1:7">
      <c r="A32" s="33"/>
      <c r="B32" s="33"/>
      <c r="C32" s="33"/>
      <c r="D32" s="33"/>
      <c r="E32" s="33"/>
      <c r="F32" s="33"/>
      <c r="G32" s="33"/>
    </row>
    <row r="33" spans="1:7">
      <c r="A33" s="186" t="s">
        <v>47</v>
      </c>
      <c r="B33" s="186"/>
      <c r="C33" s="186"/>
      <c r="D33" s="186"/>
      <c r="E33" s="33"/>
      <c r="F33" s="33"/>
      <c r="G33" s="184"/>
    </row>
    <row r="34" spans="1:7">
      <c r="A34" s="33"/>
      <c r="B34" s="33"/>
      <c r="C34" s="33"/>
      <c r="D34" s="33"/>
      <c r="E34" s="33"/>
      <c r="F34" s="33"/>
      <c r="G34" s="33"/>
    </row>
    <row r="35" spans="1:7">
      <c r="A35" s="179" t="s">
        <v>49</v>
      </c>
      <c r="B35" s="179"/>
      <c r="C35" s="179"/>
      <c r="D35" s="179"/>
      <c r="E35" s="33"/>
      <c r="F35" s="33"/>
      <c r="G35" s="33"/>
    </row>
    <row r="36" spans="1:7">
      <c r="A36" s="180" t="s">
        <v>51</v>
      </c>
      <c r="B36" s="33" t="s">
        <v>52</v>
      </c>
      <c r="C36" s="180" t="s">
        <v>24</v>
      </c>
      <c r="D36" s="180" t="s">
        <v>5</v>
      </c>
      <c r="E36" s="33"/>
      <c r="F36" s="33"/>
      <c r="G36" s="33"/>
    </row>
    <row r="37" spans="1:7">
      <c r="A37" s="180" t="s">
        <v>28</v>
      </c>
      <c r="B37" s="33" t="s">
        <v>53</v>
      </c>
      <c r="C37" s="187">
        <f>(1/12)</f>
        <v>0.0833333333333333</v>
      </c>
      <c r="D37" s="185">
        <f>TRUNC($D$31*C37,2)</f>
        <v>127.33</v>
      </c>
      <c r="E37" s="33"/>
      <c r="F37" s="188"/>
      <c r="G37" s="188"/>
    </row>
    <row r="38" spans="1:7">
      <c r="A38" s="180" t="s">
        <v>31</v>
      </c>
      <c r="B38" s="33" t="s">
        <v>54</v>
      </c>
      <c r="C38" s="187">
        <f>(((1+1/3)/12))</f>
        <v>0.111111111111111</v>
      </c>
      <c r="D38" s="185">
        <f>TRUNC($D$31*C38,2)</f>
        <v>169.77</v>
      </c>
      <c r="E38" s="33"/>
      <c r="F38" s="188"/>
      <c r="G38" s="188"/>
    </row>
    <row r="39" spans="1:7">
      <c r="A39" s="180" t="s">
        <v>44</v>
      </c>
      <c r="B39" s="33"/>
      <c r="C39" s="33"/>
      <c r="D39" s="185">
        <f>TRUNC((SUM(D37:D38)),2)</f>
        <v>297.1</v>
      </c>
      <c r="E39" s="33"/>
      <c r="F39" s="188"/>
      <c r="G39" s="188"/>
    </row>
    <row r="40" ht="15.75" spans="1:7">
      <c r="A40" s="33"/>
      <c r="B40" s="33"/>
      <c r="C40" s="33"/>
      <c r="D40" s="185"/>
      <c r="E40" s="33"/>
      <c r="F40" s="188"/>
      <c r="G40" s="188"/>
    </row>
    <row r="41" ht="16.5" spans="1:7">
      <c r="A41" s="189" t="s">
        <v>187</v>
      </c>
      <c r="B41" s="189"/>
      <c r="C41" s="190" t="s">
        <v>188</v>
      </c>
      <c r="D41" s="191">
        <f>D31</f>
        <v>1528</v>
      </c>
      <c r="E41" s="33"/>
      <c r="F41" s="188"/>
      <c r="G41" s="188"/>
    </row>
    <row r="42" ht="16.5" spans="1:7">
      <c r="A42" s="189"/>
      <c r="B42" s="189"/>
      <c r="C42" s="192" t="s">
        <v>189</v>
      </c>
      <c r="D42" s="191">
        <f>D39</f>
        <v>297.1</v>
      </c>
      <c r="E42" s="33"/>
      <c r="F42" s="188"/>
      <c r="G42" s="188"/>
    </row>
    <row r="43" ht="16.5" spans="1:7">
      <c r="A43" s="189"/>
      <c r="B43" s="189"/>
      <c r="C43" s="190" t="s">
        <v>190</v>
      </c>
      <c r="D43" s="193">
        <f>TRUNC((SUM(D41:D42)),2)</f>
        <v>1825.1</v>
      </c>
      <c r="E43" s="33"/>
      <c r="F43" s="188"/>
      <c r="G43" s="188"/>
    </row>
    <row r="44" ht="15.75" spans="1:7">
      <c r="A44" s="180"/>
      <c r="B44" s="33"/>
      <c r="C44" s="194"/>
      <c r="D44" s="185"/>
      <c r="E44" s="33"/>
      <c r="F44" s="188"/>
      <c r="G44" s="188"/>
    </row>
    <row r="45" spans="1:7">
      <c r="A45" s="179" t="s">
        <v>63</v>
      </c>
      <c r="B45" s="179"/>
      <c r="C45" s="179"/>
      <c r="D45" s="179"/>
      <c r="E45" s="33"/>
      <c r="F45" s="33"/>
      <c r="G45" s="33"/>
    </row>
    <row r="46" spans="1:7">
      <c r="A46" s="180" t="s">
        <v>64</v>
      </c>
      <c r="B46" s="33" t="s">
        <v>65</v>
      </c>
      <c r="C46" s="180" t="s">
        <v>24</v>
      </c>
      <c r="D46" s="180" t="s">
        <v>66</v>
      </c>
      <c r="E46" s="33"/>
      <c r="F46" s="33"/>
      <c r="G46" s="33"/>
    </row>
    <row r="47" spans="1:7">
      <c r="A47" s="180" t="s">
        <v>28</v>
      </c>
      <c r="B47" s="33" t="s">
        <v>67</v>
      </c>
      <c r="C47" s="187">
        <v>0.2</v>
      </c>
      <c r="D47" s="185">
        <f t="shared" ref="D47:D54" si="0">TRUNC(($D$43*C47),2)</f>
        <v>365.02</v>
      </c>
      <c r="E47" s="33"/>
      <c r="F47" s="33"/>
      <c r="G47" s="33"/>
    </row>
    <row r="48" spans="1:7">
      <c r="A48" s="180" t="s">
        <v>31</v>
      </c>
      <c r="B48" s="33" t="s">
        <v>68</v>
      </c>
      <c r="C48" s="187">
        <v>0.025</v>
      </c>
      <c r="D48" s="185">
        <f t="shared" si="0"/>
        <v>45.62</v>
      </c>
      <c r="E48" s="33"/>
      <c r="F48" s="33"/>
      <c r="G48" s="33"/>
    </row>
    <row r="49" spans="1:7">
      <c r="A49" s="180" t="s">
        <v>34</v>
      </c>
      <c r="B49" s="33" t="s">
        <v>191</v>
      </c>
      <c r="C49" s="195">
        <v>0.06</v>
      </c>
      <c r="D49" s="182">
        <f t="shared" si="0"/>
        <v>109.5</v>
      </c>
      <c r="E49" s="33"/>
      <c r="F49" s="33"/>
      <c r="G49" s="33"/>
    </row>
    <row r="50" spans="1:7">
      <c r="A50" s="180" t="s">
        <v>36</v>
      </c>
      <c r="B50" s="33" t="s">
        <v>70</v>
      </c>
      <c r="C50" s="187">
        <v>0.015</v>
      </c>
      <c r="D50" s="185">
        <f t="shared" si="0"/>
        <v>27.37</v>
      </c>
      <c r="E50" s="33"/>
      <c r="F50" s="33"/>
      <c r="G50" s="33"/>
    </row>
    <row r="51" spans="1:7">
      <c r="A51" s="180" t="s">
        <v>39</v>
      </c>
      <c r="B51" s="33" t="s">
        <v>71</v>
      </c>
      <c r="C51" s="187">
        <v>0.01</v>
      </c>
      <c r="D51" s="185">
        <f t="shared" si="0"/>
        <v>18.25</v>
      </c>
      <c r="E51" s="33"/>
      <c r="F51" s="33"/>
      <c r="G51" s="33"/>
    </row>
    <row r="52" spans="1:7">
      <c r="A52" s="180" t="s">
        <v>41</v>
      </c>
      <c r="B52" s="33" t="s">
        <v>72</v>
      </c>
      <c r="C52" s="187">
        <v>0.006</v>
      </c>
      <c r="D52" s="185">
        <f t="shared" si="0"/>
        <v>10.95</v>
      </c>
      <c r="E52" s="33"/>
      <c r="F52" s="33"/>
      <c r="G52" s="33"/>
    </row>
    <row r="53" spans="1:7">
      <c r="A53" s="180" t="s">
        <v>73</v>
      </c>
      <c r="B53" s="33" t="s">
        <v>74</v>
      </c>
      <c r="C53" s="187">
        <v>0.002</v>
      </c>
      <c r="D53" s="185">
        <f t="shared" si="0"/>
        <v>3.65</v>
      </c>
      <c r="E53" s="33"/>
      <c r="F53" s="33"/>
      <c r="G53" s="33"/>
    </row>
    <row r="54" spans="1:7">
      <c r="A54" s="180" t="s">
        <v>75</v>
      </c>
      <c r="B54" s="33" t="s">
        <v>76</v>
      </c>
      <c r="C54" s="187">
        <v>0.08</v>
      </c>
      <c r="D54" s="185">
        <f t="shared" si="0"/>
        <v>146</v>
      </c>
      <c r="E54" s="33"/>
      <c r="F54" s="33"/>
      <c r="G54" s="33"/>
    </row>
    <row r="55" spans="1:7">
      <c r="A55" s="180" t="s">
        <v>44</v>
      </c>
      <c r="B55" s="33"/>
      <c r="C55" s="194">
        <f>SUM(C47:C54)</f>
        <v>0.398</v>
      </c>
      <c r="D55" s="185">
        <f>TRUNC((SUM(D47:D54)),2)</f>
        <v>726.36</v>
      </c>
      <c r="E55" s="33"/>
      <c r="F55" s="33"/>
      <c r="G55" s="33"/>
    </row>
    <row r="56" spans="1:7">
      <c r="A56" s="180"/>
      <c r="B56" s="33"/>
      <c r="C56" s="194"/>
      <c r="D56" s="185"/>
      <c r="E56" s="33"/>
      <c r="F56" s="33"/>
      <c r="G56" s="33"/>
    </row>
    <row r="57" spans="1:7">
      <c r="A57" s="179" t="s">
        <v>81</v>
      </c>
      <c r="B57" s="179"/>
      <c r="C57" s="179"/>
      <c r="D57" s="179"/>
      <c r="E57" s="33"/>
      <c r="F57" s="33"/>
      <c r="G57" s="33"/>
    </row>
    <row r="58" spans="1:7">
      <c r="A58" s="180" t="s">
        <v>82</v>
      </c>
      <c r="B58" s="33" t="s">
        <v>83</v>
      </c>
      <c r="C58" s="180" t="s">
        <v>4</v>
      </c>
      <c r="D58" s="180" t="s">
        <v>5</v>
      </c>
      <c r="E58" s="33"/>
      <c r="F58" s="33"/>
      <c r="G58" s="33"/>
    </row>
    <row r="59" spans="1:7">
      <c r="A59" s="180" t="s">
        <v>28</v>
      </c>
      <c r="B59" s="33" t="s">
        <v>84</v>
      </c>
      <c r="C59" s="181"/>
      <c r="D59" s="182">
        <f>TRUNC(((22*4.35)*2)-((D25/100)*6),2)</f>
        <v>99.72</v>
      </c>
      <c r="E59" s="33"/>
      <c r="F59" s="33"/>
      <c r="G59" s="33"/>
    </row>
    <row r="60" spans="1:7">
      <c r="A60" s="180" t="s">
        <v>31</v>
      </c>
      <c r="B60" s="33" t="s">
        <v>85</v>
      </c>
      <c r="C60" s="181" t="str">
        <f>C9</f>
        <v>CCT PB 000047/2021</v>
      </c>
      <c r="D60" s="182">
        <f>TRUNC((((22*18))-(((22*18))*0.2)),2)</f>
        <v>316.8</v>
      </c>
      <c r="E60" s="33"/>
      <c r="F60" s="33"/>
      <c r="G60" s="33"/>
    </row>
    <row r="61" spans="1:7">
      <c r="A61" s="180" t="s">
        <v>34</v>
      </c>
      <c r="B61" s="33" t="s">
        <v>86</v>
      </c>
      <c r="C61" s="181"/>
      <c r="D61" s="182">
        <v>0</v>
      </c>
      <c r="E61" s="33"/>
      <c r="F61" s="33"/>
      <c r="G61" s="33"/>
    </row>
    <row r="62" spans="1:7">
      <c r="A62" s="94" t="s">
        <v>36</v>
      </c>
      <c r="B62" s="197" t="s">
        <v>234</v>
      </c>
      <c r="C62" s="196"/>
      <c r="D62" s="196">
        <v>0</v>
      </c>
      <c r="E62" s="33"/>
      <c r="F62" s="197"/>
      <c r="G62" s="33"/>
    </row>
    <row r="63" spans="1:7">
      <c r="A63" s="180" t="s">
        <v>39</v>
      </c>
      <c r="B63" s="33" t="s">
        <v>193</v>
      </c>
      <c r="C63" s="181" t="str">
        <f>C9</f>
        <v>CCT PB 000047/2021</v>
      </c>
      <c r="D63" s="222">
        <v>15</v>
      </c>
      <c r="E63" s="33"/>
      <c r="F63" s="33"/>
      <c r="G63" s="33"/>
    </row>
    <row r="64" spans="1:7">
      <c r="A64" s="180" t="s">
        <v>41</v>
      </c>
      <c r="B64" s="199" t="s">
        <v>194</v>
      </c>
      <c r="C64" s="196" t="str">
        <f>C9</f>
        <v>CCT PB 000047/2021</v>
      </c>
      <c r="D64" s="222">
        <v>5</v>
      </c>
      <c r="E64" s="33"/>
      <c r="F64" s="33"/>
      <c r="G64" s="33"/>
    </row>
    <row r="65" spans="1:7">
      <c r="A65" s="180" t="s">
        <v>44</v>
      </c>
      <c r="B65" s="33"/>
      <c r="C65" s="33"/>
      <c r="D65" s="185">
        <f>TRUNC((SUM(D59:D64)),2)</f>
        <v>436.52</v>
      </c>
      <c r="E65" s="33"/>
      <c r="F65" s="33"/>
      <c r="G65" s="33"/>
    </row>
    <row r="66" spans="1:7">
      <c r="A66" s="180"/>
      <c r="B66" s="33"/>
      <c r="C66" s="33"/>
      <c r="D66" s="185"/>
      <c r="E66" s="33"/>
      <c r="F66" s="33"/>
      <c r="G66" s="33"/>
    </row>
    <row r="67" spans="1:7">
      <c r="A67" s="179" t="s">
        <v>91</v>
      </c>
      <c r="B67" s="179"/>
      <c r="C67" s="179"/>
      <c r="D67" s="179"/>
      <c r="E67" s="33"/>
      <c r="F67" s="33"/>
      <c r="G67" s="33"/>
    </row>
    <row r="68" spans="1:7">
      <c r="A68" s="180" t="s">
        <v>92</v>
      </c>
      <c r="B68" s="33" t="s">
        <v>93</v>
      </c>
      <c r="C68" s="180" t="s">
        <v>4</v>
      </c>
      <c r="D68" s="180" t="s">
        <v>5</v>
      </c>
      <c r="E68" s="33"/>
      <c r="F68" s="33"/>
      <c r="G68" s="33"/>
    </row>
    <row r="69" spans="1:7">
      <c r="A69" s="180" t="s">
        <v>51</v>
      </c>
      <c r="B69" s="33" t="s">
        <v>52</v>
      </c>
      <c r="C69" s="180"/>
      <c r="D69" s="185">
        <f>D39</f>
        <v>297.1</v>
      </c>
      <c r="E69" s="33"/>
      <c r="F69" s="33"/>
      <c r="G69" s="33"/>
    </row>
    <row r="70" spans="1:7">
      <c r="A70" s="180" t="s">
        <v>64</v>
      </c>
      <c r="B70" s="33" t="s">
        <v>65</v>
      </c>
      <c r="C70" s="180"/>
      <c r="D70" s="185">
        <f>D55</f>
        <v>726.36</v>
      </c>
      <c r="E70" s="33"/>
      <c r="F70" s="33"/>
      <c r="G70" s="33"/>
    </row>
    <row r="71" spans="1:7">
      <c r="A71" s="180" t="s">
        <v>82</v>
      </c>
      <c r="B71" s="33" t="s">
        <v>83</v>
      </c>
      <c r="C71" s="180"/>
      <c r="D71" s="185">
        <f>D65</f>
        <v>436.52</v>
      </c>
      <c r="E71" s="33"/>
      <c r="F71" s="33"/>
      <c r="G71" s="33"/>
    </row>
    <row r="72" spans="1:7">
      <c r="A72" s="180" t="s">
        <v>44</v>
      </c>
      <c r="B72" s="33"/>
      <c r="C72" s="180"/>
      <c r="D72" s="185">
        <f>TRUNC(SUM(D69:D71),2)</f>
        <v>1459.98</v>
      </c>
      <c r="E72" s="33"/>
      <c r="F72" s="33"/>
      <c r="G72" s="33"/>
    </row>
    <row r="73" spans="1:7">
      <c r="A73" s="33"/>
      <c r="B73" s="33"/>
      <c r="C73" s="33"/>
      <c r="D73" s="33"/>
      <c r="E73" s="33"/>
      <c r="F73" s="33"/>
      <c r="G73" s="33"/>
    </row>
    <row r="74" spans="1:7">
      <c r="A74" s="163" t="s">
        <v>94</v>
      </c>
      <c r="B74" s="163"/>
      <c r="C74" s="163"/>
      <c r="D74" s="163"/>
      <c r="E74" s="33"/>
      <c r="F74" s="33"/>
      <c r="G74" s="33"/>
    </row>
    <row r="75" spans="1:7">
      <c r="A75" s="180" t="s">
        <v>95</v>
      </c>
      <c r="B75" s="33" t="s">
        <v>96</v>
      </c>
      <c r="C75" s="180" t="s">
        <v>24</v>
      </c>
      <c r="D75" s="180" t="s">
        <v>5</v>
      </c>
      <c r="E75" s="33"/>
      <c r="F75" s="33"/>
      <c r="G75" s="33"/>
    </row>
    <row r="76" spans="1:7">
      <c r="A76" s="180" t="s">
        <v>28</v>
      </c>
      <c r="B76" s="33" t="s">
        <v>97</v>
      </c>
      <c r="C76" s="195">
        <f>((1/12)*5%)</f>
        <v>0.00416666666666667</v>
      </c>
      <c r="D76" s="196">
        <f t="shared" ref="D76:D79" si="1">TRUNC(($D$31*C76),2)</f>
        <v>6.36</v>
      </c>
      <c r="E76" s="33"/>
      <c r="F76" s="33"/>
      <c r="G76" s="33"/>
    </row>
    <row r="77" spans="1:7">
      <c r="A77" s="180" t="s">
        <v>31</v>
      </c>
      <c r="B77" s="33" t="s">
        <v>98</v>
      </c>
      <c r="C77" s="201">
        <v>0.08</v>
      </c>
      <c r="D77" s="200">
        <f>TRUNC(($D$76*C77),2)</f>
        <v>0.5</v>
      </c>
      <c r="E77" s="33"/>
      <c r="F77" s="33"/>
      <c r="G77" s="33"/>
    </row>
    <row r="78" spans="1:7">
      <c r="A78" s="180" t="s">
        <v>34</v>
      </c>
      <c r="B78" s="202" t="s">
        <v>99</v>
      </c>
      <c r="C78" s="203">
        <f>(0.08*0.4*0.05)</f>
        <v>0.0016</v>
      </c>
      <c r="D78" s="196">
        <f t="shared" si="1"/>
        <v>2.44</v>
      </c>
      <c r="E78" s="33"/>
      <c r="F78" s="33"/>
      <c r="G78" s="33"/>
    </row>
    <row r="79" spans="1:7">
      <c r="A79" s="180" t="s">
        <v>36</v>
      </c>
      <c r="B79" s="33" t="s">
        <v>100</v>
      </c>
      <c r="C79" s="204">
        <f>(((7/30)/12)*0.95)</f>
        <v>0.0184722222222222</v>
      </c>
      <c r="D79" s="205">
        <f t="shared" si="1"/>
        <v>28.22</v>
      </c>
      <c r="E79" s="33"/>
      <c r="F79" s="33"/>
      <c r="G79" s="33"/>
    </row>
    <row r="80" ht="30" spans="1:7">
      <c r="A80" s="180" t="s">
        <v>39</v>
      </c>
      <c r="B80" s="202" t="s">
        <v>195</v>
      </c>
      <c r="C80" s="203">
        <f>C55</f>
        <v>0.398</v>
      </c>
      <c r="D80" s="196">
        <f>TRUNC(($D$79*C80),2)</f>
        <v>11.23</v>
      </c>
      <c r="E80" s="33"/>
      <c r="F80" s="33"/>
      <c r="G80" s="33"/>
    </row>
    <row r="81" spans="1:7">
      <c r="A81" s="180" t="s">
        <v>41</v>
      </c>
      <c r="B81" s="202" t="s">
        <v>101</v>
      </c>
      <c r="C81" s="203">
        <f>(0.08*0.4*0.95)</f>
        <v>0.0304</v>
      </c>
      <c r="D81" s="196">
        <f>TRUNC(($D$31*C81),2)</f>
        <v>46.45</v>
      </c>
      <c r="E81" s="33"/>
      <c r="F81" s="33"/>
      <c r="G81" s="33"/>
    </row>
    <row r="82" spans="1:7">
      <c r="A82" s="180" t="s">
        <v>44</v>
      </c>
      <c r="B82" s="33"/>
      <c r="C82" s="201">
        <f>SUM(C76:C81)</f>
        <v>0.532638888888889</v>
      </c>
      <c r="D82" s="200">
        <f>TRUNC((SUM(D76:D81)),2)</f>
        <v>95.2</v>
      </c>
      <c r="E82" s="33"/>
      <c r="F82" s="33"/>
      <c r="G82" s="33"/>
    </row>
    <row r="83" ht="15.75" spans="1:7">
      <c r="A83" s="180"/>
      <c r="B83" s="33"/>
      <c r="C83" s="33"/>
      <c r="D83" s="185"/>
      <c r="E83" s="33"/>
      <c r="F83" s="33"/>
      <c r="G83" s="33"/>
    </row>
    <row r="84" ht="16.5" spans="1:7">
      <c r="A84" s="189" t="s">
        <v>196</v>
      </c>
      <c r="B84" s="189"/>
      <c r="C84" s="190" t="s">
        <v>188</v>
      </c>
      <c r="D84" s="191">
        <f>D31</f>
        <v>1528</v>
      </c>
      <c r="E84" s="33"/>
      <c r="F84" s="33"/>
      <c r="G84" s="33"/>
    </row>
    <row r="85" ht="16.5" spans="1:7">
      <c r="A85" s="189"/>
      <c r="B85" s="189"/>
      <c r="C85" s="192" t="s">
        <v>197</v>
      </c>
      <c r="D85" s="191">
        <f>D72</f>
        <v>1459.98</v>
      </c>
      <c r="E85" s="33"/>
      <c r="F85" s="33"/>
      <c r="G85" s="33"/>
    </row>
    <row r="86" ht="16.5" spans="1:7">
      <c r="A86" s="189"/>
      <c r="B86" s="189"/>
      <c r="C86" s="190" t="s">
        <v>198</v>
      </c>
      <c r="D86" s="191">
        <f>D82</f>
        <v>95.2</v>
      </c>
      <c r="E86" s="33"/>
      <c r="F86" s="33"/>
      <c r="G86" s="33"/>
    </row>
    <row r="87" ht="16.5" spans="1:7">
      <c r="A87" s="189"/>
      <c r="B87" s="189"/>
      <c r="C87" s="192" t="s">
        <v>190</v>
      </c>
      <c r="D87" s="193">
        <f>TRUNC((SUM(D84:D86)),2)</f>
        <v>3083.18</v>
      </c>
      <c r="E87" s="33"/>
      <c r="F87" s="33"/>
      <c r="G87" s="33"/>
    </row>
    <row r="88" ht="15.75" spans="1:7">
      <c r="A88" s="180"/>
      <c r="B88" s="33"/>
      <c r="C88" s="33"/>
      <c r="D88" s="185"/>
      <c r="E88" s="33"/>
      <c r="F88" s="33"/>
      <c r="G88" s="33"/>
    </row>
    <row r="89" spans="1:7">
      <c r="A89" s="206" t="s">
        <v>113</v>
      </c>
      <c r="B89" s="206"/>
      <c r="C89" s="206"/>
      <c r="D89" s="206"/>
      <c r="E89" s="33"/>
      <c r="F89" s="33"/>
      <c r="G89" s="33"/>
    </row>
    <row r="90" spans="1:7">
      <c r="A90" s="179" t="s">
        <v>114</v>
      </c>
      <c r="B90" s="179"/>
      <c r="C90" s="179"/>
      <c r="D90" s="179"/>
      <c r="E90" s="33"/>
      <c r="F90" s="33"/>
      <c r="G90" s="33"/>
    </row>
    <row r="91" spans="1:7">
      <c r="A91" s="180" t="s">
        <v>115</v>
      </c>
      <c r="B91" s="33" t="s">
        <v>116</v>
      </c>
      <c r="C91" s="180" t="s">
        <v>24</v>
      </c>
      <c r="D91" s="180" t="s">
        <v>5</v>
      </c>
      <c r="E91" s="33"/>
      <c r="F91" s="33"/>
      <c r="G91" s="33"/>
    </row>
    <row r="92" spans="1:7">
      <c r="A92" s="180" t="s">
        <v>28</v>
      </c>
      <c r="B92" s="33" t="s">
        <v>199</v>
      </c>
      <c r="C92" s="201">
        <f>(((1+1/3)/12)/12)+((1/12)/12)</f>
        <v>0.0162037037037037</v>
      </c>
      <c r="D92" s="185">
        <f t="shared" ref="D92:D96" si="2">TRUNC(($D$87*C92),2)</f>
        <v>49.95</v>
      </c>
      <c r="E92" s="33"/>
      <c r="F92" s="33"/>
      <c r="G92" s="33"/>
    </row>
    <row r="93" spans="1:7">
      <c r="A93" s="180" t="s">
        <v>31</v>
      </c>
      <c r="B93" s="33" t="s">
        <v>119</v>
      </c>
      <c r="C93" s="195">
        <f>((2/30)/12)</f>
        <v>0.00555555555555556</v>
      </c>
      <c r="D93" s="196">
        <f t="shared" si="2"/>
        <v>17.12</v>
      </c>
      <c r="E93" s="33"/>
      <c r="F93" s="33"/>
      <c r="G93" s="33"/>
    </row>
    <row r="94" spans="1:7">
      <c r="A94" s="180" t="s">
        <v>34</v>
      </c>
      <c r="B94" s="33" t="s">
        <v>120</v>
      </c>
      <c r="C94" s="195">
        <f>((5/30)/12)*0.02</f>
        <v>0.000277777777777778</v>
      </c>
      <c r="D94" s="196">
        <f t="shared" si="2"/>
        <v>0.85</v>
      </c>
      <c r="E94" s="33"/>
      <c r="F94" s="33"/>
      <c r="G94" s="33"/>
    </row>
    <row r="95" spans="1:7">
      <c r="A95" s="94" t="s">
        <v>36</v>
      </c>
      <c r="B95" s="202" t="s">
        <v>121</v>
      </c>
      <c r="C95" s="203">
        <f>((15/30)/12)*0.08</f>
        <v>0.00333333333333333</v>
      </c>
      <c r="D95" s="196">
        <f t="shared" si="2"/>
        <v>10.27</v>
      </c>
      <c r="E95" s="33"/>
      <c r="F95" s="33"/>
      <c r="G95" s="33"/>
    </row>
    <row r="96" spans="1:7">
      <c r="A96" s="180" t="s">
        <v>39</v>
      </c>
      <c r="B96" s="33" t="s">
        <v>122</v>
      </c>
      <c r="C96" s="195">
        <f>((1+1/3)/12)*0.03*((4/12))</f>
        <v>0.00111111111111111</v>
      </c>
      <c r="D96" s="196">
        <f t="shared" si="2"/>
        <v>3.42</v>
      </c>
      <c r="E96" s="33"/>
      <c r="F96" s="33"/>
      <c r="G96" s="33"/>
    </row>
    <row r="97" spans="1:7">
      <c r="A97" s="180" t="s">
        <v>41</v>
      </c>
      <c r="B97" s="202" t="s">
        <v>200</v>
      </c>
      <c r="C97" s="207">
        <v>0</v>
      </c>
      <c r="D97" s="196">
        <f>TRUNC($D$87*C97)</f>
        <v>0</v>
      </c>
      <c r="E97" s="33"/>
      <c r="F97" s="33"/>
      <c r="G97" s="33"/>
    </row>
    <row r="98" spans="1:7">
      <c r="A98" s="180" t="s">
        <v>44</v>
      </c>
      <c r="B98" s="33"/>
      <c r="C98" s="201">
        <f>SUM(C92:C97)</f>
        <v>0.0264814814814815</v>
      </c>
      <c r="D98" s="185">
        <f>TRUNC((SUM(D92:D97)),2)</f>
        <v>81.61</v>
      </c>
      <c r="E98" s="33"/>
      <c r="F98" s="33"/>
      <c r="G98" s="33"/>
    </row>
    <row r="99" spans="1:7">
      <c r="A99" s="180"/>
      <c r="B99" s="33"/>
      <c r="C99" s="180"/>
      <c r="D99" s="185"/>
      <c r="E99" s="33"/>
      <c r="F99" s="33"/>
      <c r="G99" s="33"/>
    </row>
    <row r="100" spans="1:7">
      <c r="A100" s="179" t="s">
        <v>130</v>
      </c>
      <c r="B100" s="179"/>
      <c r="C100" s="179"/>
      <c r="D100" s="179"/>
      <c r="E100" s="33"/>
      <c r="F100" s="33"/>
      <c r="G100" s="33"/>
    </row>
    <row r="101" spans="1:7">
      <c r="A101" s="180" t="s">
        <v>131</v>
      </c>
      <c r="B101" s="33" t="s">
        <v>132</v>
      </c>
      <c r="C101" s="180" t="s">
        <v>4</v>
      </c>
      <c r="D101" s="180" t="s">
        <v>5</v>
      </c>
      <c r="E101" s="33"/>
      <c r="F101" s="33"/>
      <c r="G101" s="33"/>
    </row>
    <row r="102" ht="90" spans="1:7">
      <c r="A102" s="94" t="s">
        <v>28</v>
      </c>
      <c r="B102" s="208" t="s">
        <v>133</v>
      </c>
      <c r="C102" s="209" t="s">
        <v>201</v>
      </c>
      <c r="D102" s="210" t="s">
        <v>202</v>
      </c>
      <c r="E102" s="33"/>
      <c r="F102" s="33"/>
      <c r="G102" s="33"/>
    </row>
    <row r="103" spans="1:7">
      <c r="A103" s="180" t="s">
        <v>44</v>
      </c>
      <c r="B103" s="33"/>
      <c r="C103" s="180"/>
      <c r="D103" s="211" t="str">
        <f>D102</f>
        <v>*=TRUNCAR(($D$86/220)*(1*(365/12))/2)</v>
      </c>
      <c r="E103" s="33"/>
      <c r="F103" s="33"/>
      <c r="G103" s="33"/>
    </row>
    <row r="104" spans="1:7">
      <c r="A104" s="33"/>
      <c r="B104" s="33"/>
      <c r="C104" s="33"/>
      <c r="D104" s="33"/>
      <c r="E104" s="33"/>
      <c r="F104" s="33"/>
      <c r="G104" s="33"/>
    </row>
    <row r="105" spans="1:7">
      <c r="A105" s="179" t="s">
        <v>134</v>
      </c>
      <c r="B105" s="179"/>
      <c r="C105" s="179"/>
      <c r="D105" s="179"/>
      <c r="E105" s="33"/>
      <c r="F105" s="33"/>
      <c r="G105" s="33"/>
    </row>
    <row r="106" spans="1:7">
      <c r="A106" s="180" t="s">
        <v>135</v>
      </c>
      <c r="B106" s="33" t="s">
        <v>136</v>
      </c>
      <c r="C106" s="180" t="s">
        <v>4</v>
      </c>
      <c r="D106" s="180" t="s">
        <v>5</v>
      </c>
      <c r="E106" s="33"/>
      <c r="F106" s="33"/>
      <c r="G106" s="33"/>
    </row>
    <row r="107" spans="1:7">
      <c r="A107" s="180" t="s">
        <v>115</v>
      </c>
      <c r="B107" s="33" t="s">
        <v>116</v>
      </c>
      <c r="C107" s="33"/>
      <c r="D107" s="182">
        <f>D98</f>
        <v>81.61</v>
      </c>
      <c r="E107" s="33"/>
      <c r="F107" s="33"/>
      <c r="G107" s="33"/>
    </row>
    <row r="108" spans="1:7">
      <c r="A108" s="180" t="s">
        <v>131</v>
      </c>
      <c r="B108" s="33" t="s">
        <v>137</v>
      </c>
      <c r="C108" s="33"/>
      <c r="D108" s="212" t="str">
        <f>Submódulo4.260_81201026547[[#Totals],[Valor]]</f>
        <v>*=TRUNCAR(($D$86/220)*(1*(365/12))/2)</v>
      </c>
      <c r="E108" s="33"/>
      <c r="F108" s="33"/>
      <c r="G108" s="33"/>
    </row>
    <row r="109" ht="75" spans="1:7">
      <c r="A109" s="94" t="s">
        <v>44</v>
      </c>
      <c r="B109" s="197"/>
      <c r="C109" s="209" t="s">
        <v>203</v>
      </c>
      <c r="D109" s="200">
        <f>TRUNC((SUM(D107:D108)),2)</f>
        <v>81.61</v>
      </c>
      <c r="E109" s="33"/>
      <c r="F109" s="33"/>
      <c r="G109" s="33"/>
    </row>
    <row r="110" spans="1:7">
      <c r="A110" s="33"/>
      <c r="B110" s="33"/>
      <c r="C110" s="33"/>
      <c r="D110" s="33"/>
      <c r="E110" s="33"/>
      <c r="F110" s="33"/>
      <c r="G110" s="33"/>
    </row>
    <row r="111" spans="1:7">
      <c r="A111" s="163" t="s">
        <v>138</v>
      </c>
      <c r="B111" s="163"/>
      <c r="C111" s="163"/>
      <c r="D111" s="163"/>
      <c r="E111" s="33"/>
      <c r="F111" s="33"/>
      <c r="G111" s="33"/>
    </row>
    <row r="112" spans="1:7">
      <c r="A112" s="180" t="s">
        <v>139</v>
      </c>
      <c r="B112" s="33" t="s">
        <v>140</v>
      </c>
      <c r="C112" s="180" t="s">
        <v>4</v>
      </c>
      <c r="D112" s="180" t="s">
        <v>5</v>
      </c>
      <c r="E112" s="33"/>
      <c r="F112" s="33"/>
      <c r="G112" s="33"/>
    </row>
    <row r="113" spans="1:7">
      <c r="A113" s="180" t="s">
        <v>28</v>
      </c>
      <c r="B113" s="33" t="s">
        <v>204</v>
      </c>
      <c r="C113" s="33"/>
      <c r="D113" s="182">
        <f>Uniformes!G121</f>
        <v>97.57</v>
      </c>
      <c r="E113" s="33"/>
      <c r="F113" s="33"/>
      <c r="G113" s="33"/>
    </row>
    <row r="114" spans="1:7">
      <c r="A114" s="180" t="s">
        <v>31</v>
      </c>
      <c r="B114" s="33" t="s">
        <v>205</v>
      </c>
      <c r="C114" s="33"/>
      <c r="D114" s="182">
        <f>EPC!E21</f>
        <v>17.95</v>
      </c>
      <c r="E114" s="33"/>
      <c r="F114" s="33"/>
      <c r="G114" s="33"/>
    </row>
    <row r="115" spans="1:7">
      <c r="A115" s="180" t="s">
        <v>34</v>
      </c>
      <c r="B115" s="33" t="s">
        <v>142</v>
      </c>
      <c r="C115" s="33"/>
      <c r="D115" s="182">
        <f>'Materiais e Equipamentos'!E93</f>
        <v>61.2</v>
      </c>
      <c r="E115" s="33"/>
      <c r="F115" s="33"/>
      <c r="G115" s="33"/>
    </row>
    <row r="116" spans="1:7">
      <c r="A116" s="180" t="s">
        <v>36</v>
      </c>
      <c r="B116" s="33" t="s">
        <v>143</v>
      </c>
      <c r="C116" s="33"/>
      <c r="D116" s="182">
        <f>'Materiais e Equipamentos'!F124</f>
        <v>16.72</v>
      </c>
      <c r="E116" s="33"/>
      <c r="F116" s="33"/>
      <c r="G116" s="33"/>
    </row>
    <row r="117" spans="1:7">
      <c r="A117" s="180" t="s">
        <v>39</v>
      </c>
      <c r="B117" s="33" t="s">
        <v>42</v>
      </c>
      <c r="C117" s="33"/>
      <c r="D117" s="182">
        <f>H116</f>
        <v>0</v>
      </c>
      <c r="E117" s="33"/>
      <c r="F117" s="33"/>
      <c r="G117" s="33"/>
    </row>
    <row r="118" spans="1:7">
      <c r="A118" s="180" t="s">
        <v>44</v>
      </c>
      <c r="B118" s="33"/>
      <c r="C118" s="33"/>
      <c r="D118" s="185">
        <f>TRUNC(SUM((D113:D117)),2)</f>
        <v>193.44</v>
      </c>
      <c r="E118" s="33"/>
      <c r="F118" s="33"/>
      <c r="G118" s="33"/>
    </row>
    <row r="119" ht="15.75" spans="1:7">
      <c r="A119" s="33"/>
      <c r="B119" s="33"/>
      <c r="C119" s="33"/>
      <c r="D119" s="33"/>
      <c r="E119" s="33"/>
      <c r="F119" s="33"/>
      <c r="G119" s="33"/>
    </row>
    <row r="120" ht="16.5" spans="1:7">
      <c r="A120" s="189" t="s">
        <v>207</v>
      </c>
      <c r="B120" s="189"/>
      <c r="C120" s="190" t="s">
        <v>188</v>
      </c>
      <c r="D120" s="191">
        <f>D31</f>
        <v>1528</v>
      </c>
      <c r="E120" s="33"/>
      <c r="F120" s="33"/>
      <c r="G120" s="33"/>
    </row>
    <row r="121" ht="16.5" spans="1:7">
      <c r="A121" s="189"/>
      <c r="B121" s="189"/>
      <c r="C121" s="192" t="s">
        <v>197</v>
      </c>
      <c r="D121" s="191">
        <f>D72</f>
        <v>1459.98</v>
      </c>
      <c r="E121" s="33"/>
      <c r="F121" s="33"/>
      <c r="G121" s="33"/>
    </row>
    <row r="122" ht="16.5" spans="1:7">
      <c r="A122" s="189"/>
      <c r="B122" s="189"/>
      <c r="C122" s="190" t="s">
        <v>198</v>
      </c>
      <c r="D122" s="191">
        <f>D82</f>
        <v>95.2</v>
      </c>
      <c r="E122" s="33"/>
      <c r="F122" s="33"/>
      <c r="G122" s="33"/>
    </row>
    <row r="123" ht="16.5" spans="1:7">
      <c r="A123" s="189"/>
      <c r="B123" s="189"/>
      <c r="C123" s="192" t="s">
        <v>208</v>
      </c>
      <c r="D123" s="191">
        <f>D109</f>
        <v>81.61</v>
      </c>
      <c r="E123" s="33"/>
      <c r="F123" s="33"/>
      <c r="G123" s="33"/>
    </row>
    <row r="124" ht="16.5" spans="1:7">
      <c r="A124" s="189"/>
      <c r="B124" s="189"/>
      <c r="C124" s="190" t="s">
        <v>209</v>
      </c>
      <c r="D124" s="191">
        <f>D118</f>
        <v>193.44</v>
      </c>
      <c r="E124" s="33"/>
      <c r="F124" s="33"/>
      <c r="G124" s="33"/>
    </row>
    <row r="125" ht="16.5" spans="1:7">
      <c r="A125" s="189"/>
      <c r="B125" s="189"/>
      <c r="C125" s="192" t="s">
        <v>190</v>
      </c>
      <c r="D125" s="193">
        <f>TRUNC((SUM(D120:D124)),2)</f>
        <v>3358.23</v>
      </c>
      <c r="E125" s="33"/>
      <c r="F125" s="33"/>
      <c r="G125" s="33"/>
    </row>
    <row r="126" ht="15.75" spans="1:7">
      <c r="A126" s="33"/>
      <c r="B126" s="33"/>
      <c r="C126" s="33"/>
      <c r="D126" s="33"/>
      <c r="E126" s="33"/>
      <c r="F126" s="33"/>
      <c r="G126" s="33"/>
    </row>
    <row r="127" spans="1:7">
      <c r="A127" s="163" t="s">
        <v>150</v>
      </c>
      <c r="B127" s="163"/>
      <c r="C127" s="163"/>
      <c r="D127" s="163"/>
      <c r="E127" s="33"/>
      <c r="F127" s="33"/>
      <c r="G127" s="33"/>
    </row>
    <row r="128" spans="1:7">
      <c r="A128" s="180" t="s">
        <v>151</v>
      </c>
      <c r="B128" s="33" t="s">
        <v>152</v>
      </c>
      <c r="C128" s="180" t="s">
        <v>24</v>
      </c>
      <c r="D128" s="180" t="s">
        <v>5</v>
      </c>
      <c r="E128" s="33"/>
      <c r="F128" s="213" t="s">
        <v>210</v>
      </c>
      <c r="G128" s="213"/>
    </row>
    <row r="129" ht="15.75" spans="1:7">
      <c r="A129" s="180" t="s">
        <v>28</v>
      </c>
      <c r="B129" s="33" t="s">
        <v>153</v>
      </c>
      <c r="C129" s="195">
        <v>0.044</v>
      </c>
      <c r="D129" s="182">
        <f>TRUNC(($D$125*C129),2)</f>
        <v>147.76</v>
      </c>
      <c r="E129" s="33"/>
      <c r="F129" s="214" t="s">
        <v>211</v>
      </c>
      <c r="G129" s="203">
        <f>C131</f>
        <v>0.0865</v>
      </c>
    </row>
    <row r="130" ht="15.75" spans="1:7">
      <c r="A130" s="180" t="s">
        <v>31</v>
      </c>
      <c r="B130" s="33" t="s">
        <v>45</v>
      </c>
      <c r="C130" s="195">
        <v>0.0413</v>
      </c>
      <c r="D130" s="182">
        <f>TRUNC((C130*(D125+D129)),2)</f>
        <v>144.79</v>
      </c>
      <c r="E130" s="33"/>
      <c r="F130" s="215" t="s">
        <v>212</v>
      </c>
      <c r="G130" s="216">
        <f>TRUNC(SUM(D125,D129,D130),2)</f>
        <v>3650.78</v>
      </c>
    </row>
    <row r="131" spans="1:7">
      <c r="A131" s="180" t="s">
        <v>34</v>
      </c>
      <c r="B131" s="33" t="s">
        <v>154</v>
      </c>
      <c r="C131" s="195">
        <f>SUM(C132:C134)</f>
        <v>0.0865</v>
      </c>
      <c r="D131" s="182">
        <f>TRUNC((SUM(D132:D134)),2)</f>
        <v>345.68</v>
      </c>
      <c r="E131" s="33"/>
      <c r="F131" s="214" t="s">
        <v>213</v>
      </c>
      <c r="G131" s="217">
        <f>(100-8.65)/100</f>
        <v>0.9135</v>
      </c>
    </row>
    <row r="132" ht="15.75" spans="1:7">
      <c r="A132" s="180"/>
      <c r="B132" s="33" t="s">
        <v>214</v>
      </c>
      <c r="C132" s="195">
        <v>0.0065</v>
      </c>
      <c r="D132" s="182">
        <f t="shared" ref="D132:D134" si="3">TRUNC(($G$132*C132),2)</f>
        <v>25.97</v>
      </c>
      <c r="E132" s="33"/>
      <c r="F132" s="215" t="s">
        <v>210</v>
      </c>
      <c r="G132" s="216">
        <f>TRUNC((G130/G131),2)</f>
        <v>3996.47</v>
      </c>
    </row>
    <row r="133" ht="15.75" spans="1:7">
      <c r="A133" s="180"/>
      <c r="B133" s="33" t="s">
        <v>215</v>
      </c>
      <c r="C133" s="195">
        <v>0.03</v>
      </c>
      <c r="D133" s="182">
        <f t="shared" si="3"/>
        <v>119.89</v>
      </c>
      <c r="E133" s="33"/>
      <c r="F133" s="33"/>
      <c r="G133" s="33"/>
    </row>
    <row r="134" spans="1:7">
      <c r="A134" s="180"/>
      <c r="B134" s="33" t="s">
        <v>216</v>
      </c>
      <c r="C134" s="195">
        <v>0.05</v>
      </c>
      <c r="D134" s="182">
        <f t="shared" si="3"/>
        <v>199.82</v>
      </c>
      <c r="E134" s="33"/>
      <c r="F134" s="33"/>
      <c r="G134" s="33"/>
    </row>
    <row r="135" spans="1:7">
      <c r="A135" s="180" t="s">
        <v>44</v>
      </c>
      <c r="B135" s="33"/>
      <c r="C135" s="180"/>
      <c r="D135" s="185">
        <f>TRUNC(SUM(D129:D131),2)</f>
        <v>638.23</v>
      </c>
      <c r="E135" s="33"/>
      <c r="F135" s="33"/>
      <c r="G135" s="33"/>
    </row>
    <row r="136" spans="1:7">
      <c r="A136" s="180"/>
      <c r="B136" s="33"/>
      <c r="C136" s="180"/>
      <c r="D136" s="185"/>
      <c r="E136" s="33"/>
      <c r="F136" s="33"/>
      <c r="G136" s="33"/>
    </row>
    <row r="137" spans="1:7">
      <c r="A137" s="33"/>
      <c r="B137" s="33"/>
      <c r="C137" s="33"/>
      <c r="D137" s="33"/>
      <c r="E137" s="33"/>
      <c r="F137" s="33"/>
      <c r="G137" s="33"/>
    </row>
    <row r="138" spans="1:7">
      <c r="A138" s="163" t="s">
        <v>158</v>
      </c>
      <c r="B138" s="163"/>
      <c r="C138" s="163"/>
      <c r="D138" s="163"/>
      <c r="E138" s="33"/>
      <c r="F138" s="33"/>
      <c r="G138" s="33"/>
    </row>
    <row r="139" spans="1:7">
      <c r="A139" s="180" t="s">
        <v>2</v>
      </c>
      <c r="B139" s="180" t="s">
        <v>159</v>
      </c>
      <c r="C139" s="180" t="s">
        <v>88</v>
      </c>
      <c r="D139" s="180" t="s">
        <v>5</v>
      </c>
      <c r="E139" s="33"/>
      <c r="F139" s="33"/>
      <c r="G139" s="33"/>
    </row>
    <row r="140" spans="1:7">
      <c r="A140" s="180" t="s">
        <v>28</v>
      </c>
      <c r="B140" s="33" t="s">
        <v>22</v>
      </c>
      <c r="C140" s="33"/>
      <c r="D140" s="185">
        <f>D31</f>
        <v>1528</v>
      </c>
      <c r="E140" s="33"/>
      <c r="F140" s="33"/>
      <c r="G140" s="33"/>
    </row>
    <row r="141" spans="1:7">
      <c r="A141" s="180" t="s">
        <v>31</v>
      </c>
      <c r="B141" s="33" t="s">
        <v>47</v>
      </c>
      <c r="C141" s="33"/>
      <c r="D141" s="185">
        <f>D72</f>
        <v>1459.98</v>
      </c>
      <c r="E141" s="33"/>
      <c r="F141" s="33"/>
      <c r="G141" s="33"/>
    </row>
    <row r="142" spans="1:7">
      <c r="A142" s="180" t="s">
        <v>34</v>
      </c>
      <c r="B142" s="33" t="s">
        <v>94</v>
      </c>
      <c r="C142" s="33"/>
      <c r="D142" s="185">
        <f>D82</f>
        <v>95.2</v>
      </c>
      <c r="E142" s="33"/>
      <c r="F142" s="33"/>
      <c r="G142" s="33"/>
    </row>
    <row r="143" spans="1:7">
      <c r="A143" s="180" t="s">
        <v>36</v>
      </c>
      <c r="B143" s="33" t="s">
        <v>160</v>
      </c>
      <c r="C143" s="33"/>
      <c r="D143" s="185">
        <f>D109</f>
        <v>81.61</v>
      </c>
      <c r="E143" s="33"/>
      <c r="F143" s="33"/>
      <c r="G143" s="33"/>
    </row>
    <row r="144" spans="1:7">
      <c r="A144" s="180" t="s">
        <v>39</v>
      </c>
      <c r="B144" s="33" t="s">
        <v>138</v>
      </c>
      <c r="C144" s="33"/>
      <c r="D144" s="185">
        <f>D118</f>
        <v>193.44</v>
      </c>
      <c r="E144" s="33"/>
      <c r="F144" s="33"/>
      <c r="G144" s="33"/>
    </row>
    <row r="145" spans="1:7">
      <c r="A145" s="33"/>
      <c r="B145" s="218" t="s">
        <v>161</v>
      </c>
      <c r="C145" s="33"/>
      <c r="D145" s="185">
        <f>TRUNC(SUM(D140:D144),2)</f>
        <v>3358.23</v>
      </c>
      <c r="E145" s="33"/>
      <c r="F145" s="33"/>
      <c r="G145" s="33"/>
    </row>
    <row r="146" spans="1:7">
      <c r="A146" s="180" t="s">
        <v>41</v>
      </c>
      <c r="B146" s="33" t="s">
        <v>150</v>
      </c>
      <c r="C146" s="33"/>
      <c r="D146" s="185">
        <f>D135</f>
        <v>638.23</v>
      </c>
      <c r="E146" s="33"/>
      <c r="F146" s="33"/>
      <c r="G146" s="33"/>
    </row>
    <row r="147" spans="1:7">
      <c r="A147" s="219"/>
      <c r="B147" s="220" t="s">
        <v>217</v>
      </c>
      <c r="C147" s="219"/>
      <c r="D147" s="221">
        <f>TRUNC((SUM(D140:D144)+D146),2)</f>
        <v>3996.46</v>
      </c>
      <c r="E147" s="33"/>
      <c r="F147" s="33"/>
      <c r="G147" s="33"/>
    </row>
  </sheetData>
  <mergeCells count="33">
    <mergeCell ref="A2:D2"/>
    <mergeCell ref="A3:D3"/>
    <mergeCell ref="A6:D6"/>
    <mergeCell ref="C7:D7"/>
    <mergeCell ref="C8:D8"/>
    <mergeCell ref="C9:D9"/>
    <mergeCell ref="C10:D10"/>
    <mergeCell ref="A11:D11"/>
    <mergeCell ref="A12:B12"/>
    <mergeCell ref="A13:B13"/>
    <mergeCell ref="A14:B14"/>
    <mergeCell ref="A15:D15"/>
    <mergeCell ref="F15:G15"/>
    <mergeCell ref="F22:G22"/>
    <mergeCell ref="A23:D23"/>
    <mergeCell ref="F31:G31"/>
    <mergeCell ref="A33:D33"/>
    <mergeCell ref="A35:D35"/>
    <mergeCell ref="A45:D45"/>
    <mergeCell ref="A57:D57"/>
    <mergeCell ref="A67:D67"/>
    <mergeCell ref="A74:D74"/>
    <mergeCell ref="A89:D89"/>
    <mergeCell ref="A90:D90"/>
    <mergeCell ref="A100:D100"/>
    <mergeCell ref="A105:D105"/>
    <mergeCell ref="A111:D111"/>
    <mergeCell ref="A127:D127"/>
    <mergeCell ref="F128:G128"/>
    <mergeCell ref="A138:D138"/>
    <mergeCell ref="A41:B43"/>
    <mergeCell ref="A84:B87"/>
    <mergeCell ref="A120:B125"/>
  </mergeCells>
  <pageMargins left="0.75" right="0.75" top="1" bottom="1" header="0.5" footer="0.5"/>
  <pageSetup paperSize="9" orientation="landscape"/>
  <headerFooter/>
  <tableParts count="13">
    <tablePart r:id="rId1"/>
    <tablePart r:id="rId2"/>
    <tablePart r:id="rId3"/>
    <tablePart r:id="rId4"/>
    <tablePart r:id="rId5"/>
    <tablePart r:id="rId6"/>
    <tablePart r:id="rId7"/>
    <tablePart r:id="rId8"/>
    <tablePart r:id="rId9"/>
    <tablePart r:id="rId10"/>
    <tablePart r:id="rId11"/>
    <tablePart r:id="rId12"/>
    <tablePart r:id="rId13"/>
  </tableParts>
</worksheet>
</file>

<file path=docProps/app.xml><?xml version="1.0" encoding="utf-8"?>
<Properties xmlns="http://schemas.openxmlformats.org/officeDocument/2006/extended-properties" xmlns:vt="http://schemas.openxmlformats.org/officeDocument/2006/docPropsVTypes">
  <Application>WPS Spreadsheets</Application>
  <HeadingPairs>
    <vt:vector size="2" baseType="variant">
      <vt:variant>
        <vt:lpstr>工作表</vt:lpstr>
      </vt:variant>
      <vt:variant>
        <vt:i4>15</vt:i4>
      </vt:variant>
    </vt:vector>
  </HeadingPairs>
  <TitlesOfParts>
    <vt:vector size="15" baseType="lpstr">
      <vt:lpstr>Orientações</vt:lpstr>
      <vt:lpstr>Servente</vt:lpstr>
      <vt:lpstr>Auxiliar Administrativo</vt:lpstr>
      <vt:lpstr>Portaria</vt:lpstr>
      <vt:lpstr>Motorista Interestadual</vt:lpstr>
      <vt:lpstr>Eletricista</vt:lpstr>
      <vt:lpstr>Auxiliar de Manutenção Predial</vt:lpstr>
      <vt:lpstr>Pintor</vt:lpstr>
      <vt:lpstr>Técnico em Refrigeração</vt:lpstr>
      <vt:lpstr>Jardineiro</vt:lpstr>
      <vt:lpstr>Diárias</vt:lpstr>
      <vt:lpstr>Uniformes</vt:lpstr>
      <vt:lpstr>Materiais e Equipamentos</vt:lpstr>
      <vt:lpstr>EPC</vt:lpstr>
      <vt:lpstr>RESUMO</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IFPB</cp:lastModifiedBy>
  <dcterms:created xsi:type="dcterms:W3CDTF">2021-07-15T20:30:00Z</dcterms:created>
  <dcterms:modified xsi:type="dcterms:W3CDTF">2021-07-27T17:36:37Z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1046-11.2.0.10223</vt:lpwstr>
  </property>
</Properties>
</file>